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105" windowWidth="8475" windowHeight="5880" firstSheet="6" activeTab="6"/>
  </bookViews>
  <sheets>
    <sheet name="приходи" sheetId="1" r:id="rId1"/>
    <sheet name="разходи" sheetId="2" r:id="rId2"/>
    <sheet name="данъци и такси" sheetId="3" r:id="rId3"/>
    <sheet name="31.12.08" sheetId="4" r:id="rId4"/>
    <sheet name="30.06.09" sheetId="5" r:id="rId5"/>
    <sheet name="мпс" sheetId="6" r:id="rId6"/>
    <sheet name="31.12.2010" sheetId="7" r:id="rId7"/>
  </sheets>
  <definedNames/>
  <calcPr fullCalcOnLoad="1"/>
</workbook>
</file>

<file path=xl/sharedStrings.xml><?xml version="1.0" encoding="utf-8"?>
<sst xmlns="http://schemas.openxmlformats.org/spreadsheetml/2006/main" count="1332" uniqueCount="242">
  <si>
    <t>Наименование на приходите</t>
  </si>
  <si>
    <t xml:space="preserve">Уточнен </t>
  </si>
  <si>
    <t>Изпълнение</t>
  </si>
  <si>
    <t>Проценти</t>
  </si>
  <si>
    <t>к.2:к.1</t>
  </si>
  <si>
    <t>к.2:к.3</t>
  </si>
  <si>
    <t xml:space="preserve"> /лева/</t>
  </si>
  <si>
    <t>І.СОБСТВЕНИ ПРИХОДИ</t>
  </si>
  <si>
    <t>Имуществени данъци</t>
  </si>
  <si>
    <t>Неданъчни приходи</t>
  </si>
  <si>
    <t>ІІІ.ТРАНСФЕРИ</t>
  </si>
  <si>
    <t xml:space="preserve"> -Данък в/у недвижим.имоти</t>
  </si>
  <si>
    <t xml:space="preserve"> -Данък в/у превозните средства</t>
  </si>
  <si>
    <t xml:space="preserve"> -Други данъци</t>
  </si>
  <si>
    <t xml:space="preserve"> -Приходи и доходи от собств.</t>
  </si>
  <si>
    <t xml:space="preserve"> -Общински такси</t>
  </si>
  <si>
    <t xml:space="preserve"> -Други неданъчни приходи</t>
  </si>
  <si>
    <t xml:space="preserve"> -Приходи от концесии</t>
  </si>
  <si>
    <t xml:space="preserve"> -Помощи, дарения и други</t>
  </si>
  <si>
    <t>Всичко собствени приходи</t>
  </si>
  <si>
    <t>план към</t>
  </si>
  <si>
    <t>към</t>
  </si>
  <si>
    <t>Общи държав. служби</t>
  </si>
  <si>
    <t>В.т.ч.-заплати и възнагр.</t>
  </si>
  <si>
    <t xml:space="preserve">         -др.възнагр. и плащ. </t>
  </si>
  <si>
    <t xml:space="preserve">         -осигурит.вноски</t>
  </si>
  <si>
    <t xml:space="preserve">         -текуща издръжка</t>
  </si>
  <si>
    <t xml:space="preserve">         -членски внос</t>
  </si>
  <si>
    <t xml:space="preserve">         -пом. по реш. ОбС</t>
  </si>
  <si>
    <t xml:space="preserve">         -капит.разходи</t>
  </si>
  <si>
    <t>Отбрана и сигурност</t>
  </si>
  <si>
    <t>Образование</t>
  </si>
  <si>
    <t xml:space="preserve">         -стипендии</t>
  </si>
  <si>
    <t>Здравеоопазване</t>
  </si>
  <si>
    <t>Социално осигуряване</t>
  </si>
  <si>
    <r>
      <t xml:space="preserve">         -капит.разходи</t>
    </r>
    <r>
      <rPr>
        <b/>
        <sz val="11"/>
        <rFont val="Times New Roman"/>
        <family val="1"/>
      </rPr>
      <t xml:space="preserve">         </t>
    </r>
  </si>
  <si>
    <t>Поч.дело, култура, рел.дейн.</t>
  </si>
  <si>
    <t xml:space="preserve">         -субсидии</t>
  </si>
  <si>
    <t>Иконом. дейн.и услуги</t>
  </si>
  <si>
    <t xml:space="preserve">         -лихви по заеми</t>
  </si>
  <si>
    <t>Резерв за непред.р-ди</t>
  </si>
  <si>
    <t>ВСИЧКО  РАЗХОДИ:</t>
  </si>
  <si>
    <t xml:space="preserve">        -осигурит.вноски</t>
  </si>
  <si>
    <r>
      <t xml:space="preserve">         -</t>
    </r>
    <r>
      <rPr>
        <sz val="11"/>
        <rFont val="Times New Roman"/>
        <family val="1"/>
      </rPr>
      <t>субсидии</t>
    </r>
  </si>
  <si>
    <t xml:space="preserve">         -резерв</t>
  </si>
  <si>
    <t>Р-ди некл.в др.функции</t>
  </si>
  <si>
    <t>ФУНКЦИИ</t>
  </si>
  <si>
    <t xml:space="preserve">              Приложение № 2</t>
  </si>
  <si>
    <t>С П Р А В К А</t>
  </si>
  <si>
    <t xml:space="preserve">         Приложение № 1</t>
  </si>
  <si>
    <t xml:space="preserve"> </t>
  </si>
  <si>
    <t xml:space="preserve">         -др.текущи трансфери</t>
  </si>
  <si>
    <t xml:space="preserve">         -тек.тран.-по реш.на ОбС</t>
  </si>
  <si>
    <t>В.т.ч.-Общински съвет</t>
  </si>
  <si>
    <t>Жил.стр.,БКС и опазв.ок.среда</t>
  </si>
  <si>
    <t xml:space="preserve"> -приходи от наеми на имущество</t>
  </si>
  <si>
    <t xml:space="preserve"> -приходи от наеми на земя</t>
  </si>
  <si>
    <t xml:space="preserve"> -приходи от дивиденти</t>
  </si>
  <si>
    <t xml:space="preserve"> -приходи от лихви -текущи банкови сметки</t>
  </si>
  <si>
    <t xml:space="preserve"> -приходи от други лихви</t>
  </si>
  <si>
    <t>в.т.ч.за ползване детски градини</t>
  </si>
  <si>
    <t xml:space="preserve"> -за ползване на детски ясли</t>
  </si>
  <si>
    <t xml:space="preserve"> -за технически услуги</t>
  </si>
  <si>
    <t xml:space="preserve"> -за административни услуги</t>
  </si>
  <si>
    <t>в.т.ч.постъпления от продажба на сгради</t>
  </si>
  <si>
    <t xml:space="preserve"> -постъпления от продажба на земя</t>
  </si>
  <si>
    <t xml:space="preserve">         -помощи по реш.на ОбС</t>
  </si>
  <si>
    <t>НАСЕЛЕНИ МЕСТА</t>
  </si>
  <si>
    <t>облог за</t>
  </si>
  <si>
    <t>тек.годна</t>
  </si>
  <si>
    <t xml:space="preserve">суми за </t>
  </si>
  <si>
    <t>тек.год.</t>
  </si>
  <si>
    <t xml:space="preserve">отстъпка </t>
  </si>
  <si>
    <t>за тек.год.</t>
  </si>
  <si>
    <t xml:space="preserve">внесени </t>
  </si>
  <si>
    <t xml:space="preserve">остатък </t>
  </si>
  <si>
    <t>за внасяне</t>
  </si>
  <si>
    <t>тек.година</t>
  </si>
  <si>
    <t>недобори</t>
  </si>
  <si>
    <t>мин.години</t>
  </si>
  <si>
    <t>от минали</t>
  </si>
  <si>
    <t>години</t>
  </si>
  <si>
    <t xml:space="preserve">всичко </t>
  </si>
  <si>
    <t>АСЕНОВО</t>
  </si>
  <si>
    <t>БАЛКАНЦИ</t>
  </si>
  <si>
    <t>БЛАГОЕВО</t>
  </si>
  <si>
    <t>БРЯГОВИЦА</t>
  </si>
  <si>
    <t>ВИНОГРАД</t>
  </si>
  <si>
    <t>ВЛАДИСЛАВ</t>
  </si>
  <si>
    <t>ВОДНО</t>
  </si>
  <si>
    <t>ГОРСКИ СЕНОВЕЦ</t>
  </si>
  <si>
    <t>ЖЕЛЕЗАРЦИ</t>
  </si>
  <si>
    <t>КАВЛАК</t>
  </si>
  <si>
    <t>КАМЕН</t>
  </si>
  <si>
    <t>КЕСАРЕВО</t>
  </si>
  <si>
    <t>ЛОЗЕН</t>
  </si>
  <si>
    <t>ЛЮБЕНЦИ</t>
  </si>
  <si>
    <t>МИРОВО</t>
  </si>
  <si>
    <t>НИКОЛАЕВО</t>
  </si>
  <si>
    <t>Н.ВЪРБОВКА</t>
  </si>
  <si>
    <t>Н.ГРАДИЩЕ</t>
  </si>
  <si>
    <t>СТРАЖИЦА</t>
  </si>
  <si>
    <t>СУШИЦА</t>
  </si>
  <si>
    <t>ТЕМЕНУГА</t>
  </si>
  <si>
    <t>ЦАРСКИ ИЗВОР</t>
  </si>
  <si>
    <t xml:space="preserve"> внес.суми</t>
  </si>
  <si>
    <t>%</t>
  </si>
  <si>
    <t>ДАНЪК НЕДВИЖИМИ ИМОТИ - ФИЗИЧЕСКИ ЛИЦА</t>
  </si>
  <si>
    <t>ТАКСА БИТОВИ ОТПАДЪЦИ - ФИЗИЧЕСКИ ЛИЦА</t>
  </si>
  <si>
    <t>ВСИЧКО ТБО</t>
  </si>
  <si>
    <t>ДАНЪК НЕДВИЖИМИ ИМОТИ - ЮРИДИЧЕСКИ ЛИЦА</t>
  </si>
  <si>
    <t>ТАКСА БИТОВИ ОТПАДЪЦИ- ЮРИДИЧЕСКИ ЛИЦА</t>
  </si>
  <si>
    <t>Приложение № 4</t>
  </si>
  <si>
    <t>Приложение № 5</t>
  </si>
  <si>
    <t xml:space="preserve">В.т.ч.-др.възнагр. и плащ. </t>
  </si>
  <si>
    <t>в.т.ч.Межд.прогр.-публ.част.парт.</t>
  </si>
  <si>
    <t>в.т.ч.Межд.праграми-защитен дом</t>
  </si>
  <si>
    <t>всичко</t>
  </si>
  <si>
    <t>внес.</t>
  </si>
  <si>
    <t>за пер.</t>
  </si>
  <si>
    <t>ВС. ОТ ЮР.ЛИЦА</t>
  </si>
  <si>
    <t>ВС. ОТ ФИЗ.ЛИЦА</t>
  </si>
  <si>
    <t>ВС. ДАН.НЕДВ.ИМ.</t>
  </si>
  <si>
    <t>год.</t>
  </si>
  <si>
    <t>за тек.</t>
  </si>
  <si>
    <t>внесeни</t>
  </si>
  <si>
    <t xml:space="preserve">         -субсид.неф.предпр.</t>
  </si>
  <si>
    <t>31.03.2008г.</t>
  </si>
  <si>
    <t>ЗА СЪБРАНИТЕ СРЕДСТВА ОТ ДАНЪК НЕДВИЖИМИ ИМОТИ ЗА ПЕРИОДА 01.01-03.2008Г</t>
  </si>
  <si>
    <t>ЗА СЪБРАНИТЕ СРЕДСТВА ОТ ТАКСА БИТОВИ ОТПАДЪЦИ ЗА ПЕРИОДА 01.01-31.03.2008Г</t>
  </si>
  <si>
    <t>30.03.2008г.</t>
  </si>
  <si>
    <t>30.03.2007г.</t>
  </si>
  <si>
    <t>ІІ.ВЗАИМООТНОШЕНИЯ С ЦБ</t>
  </si>
  <si>
    <t>30.06.2008г.</t>
  </si>
  <si>
    <t>30.06.2007г.</t>
  </si>
  <si>
    <t>за изпълнение на разходите за периода 01.01 -  30.06.2008 година</t>
  </si>
  <si>
    <r>
      <t xml:space="preserve">         -</t>
    </r>
    <r>
      <rPr>
        <sz val="10"/>
        <rFont val="Times New Roman"/>
        <family val="1"/>
      </rPr>
      <t>субсидии</t>
    </r>
  </si>
  <si>
    <t>І. Общи държавни служби</t>
  </si>
  <si>
    <t>ІІ. Отбрана и сигурност</t>
  </si>
  <si>
    <t>ІІІ. Образование</t>
  </si>
  <si>
    <t>ІV. Здравеоопазване</t>
  </si>
  <si>
    <t>VІІ. Дейности по почивното, културното и религ. дело</t>
  </si>
  <si>
    <t>VІІІ. Икономически дейности и услуги</t>
  </si>
  <si>
    <t>V. Социално осигуряване и грижи</t>
  </si>
  <si>
    <t>VІ. Жилищно строит., БКС и опазв. на околната среда</t>
  </si>
  <si>
    <t>ІХ. Разходи, некласифицирани в др.функции</t>
  </si>
  <si>
    <t>В.т.ч.-заплати и възнаграждения</t>
  </si>
  <si>
    <t xml:space="preserve">         -др.възнаграждения и плащания </t>
  </si>
  <si>
    <t xml:space="preserve">         -осигурителни вноски</t>
  </si>
  <si>
    <t xml:space="preserve">         -помощи по решение на ОбС</t>
  </si>
  <si>
    <t xml:space="preserve">         -капиталови разходи</t>
  </si>
  <si>
    <t xml:space="preserve">         -субсидии неф.предпр.</t>
  </si>
  <si>
    <t>В.т.ч. -заплати и възнаграждения</t>
  </si>
  <si>
    <t xml:space="preserve">         - др.възнаграждения и плащания </t>
  </si>
  <si>
    <t>ВСИЧКО ТБО:</t>
  </si>
  <si>
    <t>ВСИЧКО ОТ ФИЗ. ЛИЦА</t>
  </si>
  <si>
    <t>ВСИЧКО ОТ ЮРИД. ЛИЦА</t>
  </si>
  <si>
    <t>ВСИЧКО ДАНЪК НЕДВ.ИМ.</t>
  </si>
  <si>
    <t>ВСИЧКО ОТ ФИЗ. ЛИЦА:</t>
  </si>
  <si>
    <t>ВСИЧКО ОТ ЮРИД. ЛИЦА:</t>
  </si>
  <si>
    <t xml:space="preserve"> -Данък при придобив.на имущество</t>
  </si>
  <si>
    <t xml:space="preserve"> -ДДФЛ - окончат. год. патентен данък</t>
  </si>
  <si>
    <t>в.т.ч.нетни прих. от прод. на стокии услуги</t>
  </si>
  <si>
    <t xml:space="preserve"> -за ползване на домашен соц. патронаж</t>
  </si>
  <si>
    <t xml:space="preserve"> -за ползване пазари, тържища и др.</t>
  </si>
  <si>
    <t xml:space="preserve"> -за битови отпадъци</t>
  </si>
  <si>
    <t xml:space="preserve"> -за притежаване на куче</t>
  </si>
  <si>
    <t xml:space="preserve"> -други общински такси</t>
  </si>
  <si>
    <t xml:space="preserve"> -Глоби, санкции и наказателни лихви</t>
  </si>
  <si>
    <t xml:space="preserve"> -Внесени ДДС и други данъци в/у прод.</t>
  </si>
  <si>
    <t xml:space="preserve"> -Постъпления от прод. на неф.активи</t>
  </si>
  <si>
    <t>ІV.ВРЕМЕННИ БЕЗЛ. ЗАЕМИ</t>
  </si>
  <si>
    <t>V.ФИНАНСИРАНЕ НА ДЕФИЦИТА</t>
  </si>
  <si>
    <t>VІІ.НАЛИЧ. СР. В КРАЯ НА ПЕРИОДА</t>
  </si>
  <si>
    <t>VІ.НАЛИЧ. СР. В НАЧАЛОТО НА ПЕРИОДА</t>
  </si>
  <si>
    <t>ВСИЧКО ПРИХОДИ:</t>
  </si>
  <si>
    <t>за изпълнение на приходите за периода 01.01 - 30.06.2008 година</t>
  </si>
  <si>
    <t xml:space="preserve">Приложение </t>
  </si>
  <si>
    <t>тек. годна</t>
  </si>
  <si>
    <t>тек. год.</t>
  </si>
  <si>
    <t>тек. година</t>
  </si>
  <si>
    <t>мин. години</t>
  </si>
  <si>
    <t>за тек. год.</t>
  </si>
  <si>
    <t xml:space="preserve"> внес. суми</t>
  </si>
  <si>
    <t>ЗА СЪБРАНИТЕ СРЕДСТВА ОТ ДАНЪК НЕДВИЖИМИ ИМОТИ ЗА ПЕРИОДА 01.01 - 31.12.2008 г.</t>
  </si>
  <si>
    <t>ЗА СЪБРАНИТЕ СРЕДСТВА ОТ ТАКСА БИТОВИ ОТПАДЪЦИ ЗА ПЕРИОДА 01.01 - 31.12.2008 г.</t>
  </si>
  <si>
    <t>Внесени суми за текуща година</t>
  </si>
  <si>
    <t>Внесени суми за текуща година %</t>
  </si>
  <si>
    <t>Облог за текуща година</t>
  </si>
  <si>
    <t>Населено място</t>
  </si>
  <si>
    <t>Отстъпка за текуща година</t>
  </si>
  <si>
    <t>Остатък за внасяне за текуща година</t>
  </si>
  <si>
    <t>Недобори от минали години</t>
  </si>
  <si>
    <t>Внесени от минали години</t>
  </si>
  <si>
    <t>Остатък за внасяне от минали години</t>
  </si>
  <si>
    <t>Всичко внесени за периода</t>
  </si>
  <si>
    <t>Всичко за внасяне</t>
  </si>
  <si>
    <t>Внесени суми от недобори %</t>
  </si>
  <si>
    <t>Общо внесени суми %</t>
  </si>
  <si>
    <t>Изготвил</t>
  </si>
  <si>
    <t xml:space="preserve">            П. Атанасова </t>
  </si>
  <si>
    <t>ЗА СЪБРАНИТЕ СРЕДСТВА ОТ ДАНЪК НЕДВИЖИМИ ИМОТИ ЗА ПЕРИОДА 01.01 - 30.06.2009 г.</t>
  </si>
  <si>
    <t>ЗА СЪБРАНИТЕ СРЕДСТВА ОТ ТАКСА БИТОВИ ОТПАДЪЦИ ЗА ПЕРИОДА 01.01 - 30.06.2009 г.</t>
  </si>
  <si>
    <t>Асеново</t>
  </si>
  <si>
    <t>Балканци</t>
  </si>
  <si>
    <t>Благоево</t>
  </si>
  <si>
    <t>Бряговица</t>
  </si>
  <si>
    <t>Виноград</t>
  </si>
  <si>
    <t>Владислав</t>
  </si>
  <si>
    <t>Водно</t>
  </si>
  <si>
    <t>Горски Сеновец</t>
  </si>
  <si>
    <t xml:space="preserve">Железарци </t>
  </si>
  <si>
    <t>Кавлак</t>
  </si>
  <si>
    <t>Камен</t>
  </si>
  <si>
    <t>Кесарево</t>
  </si>
  <si>
    <t>Лозен</t>
  </si>
  <si>
    <t>Любенци</t>
  </si>
  <si>
    <t>Мирово</t>
  </si>
  <si>
    <t>Николаево</t>
  </si>
  <si>
    <t>Нова Върбовка</t>
  </si>
  <si>
    <t>Ново Градище</t>
  </si>
  <si>
    <t>Стражица</t>
  </si>
  <si>
    <t>Сушица</t>
  </si>
  <si>
    <t>Теменуга</t>
  </si>
  <si>
    <t>Царски Извор</t>
  </si>
  <si>
    <t>Всичко от физ. лица</t>
  </si>
  <si>
    <t>Всичко от юрид. лица</t>
  </si>
  <si>
    <t>Всичко данък недв. имоти</t>
  </si>
  <si>
    <t>Всичко ТБО</t>
  </si>
  <si>
    <t>МПС</t>
  </si>
  <si>
    <t>Всичко ТБО:</t>
  </si>
  <si>
    <t>Изготвил:</t>
  </si>
  <si>
    <t>П. Атанасова</t>
  </si>
  <si>
    <t>Всичко ДНИ:</t>
  </si>
  <si>
    <t>Всичко:</t>
  </si>
  <si>
    <t>МПС - ЮРИДИЧЕСКИ ЛИЦА</t>
  </si>
  <si>
    <t>Железарци</t>
  </si>
  <si>
    <t>МПС - ФИЗИЧЕСКИ ЛИЦА 31.10.2010</t>
  </si>
  <si>
    <t>ДАНЪК МПС - ОБЩО 31.10.2010</t>
  </si>
  <si>
    <t>ЗА СЪБРАНИТЕ СРЕДСТВА ОТ ДАНЪК НЕДВИЖИМИ ИМОТИ ЗА ПЕРИОДА 01.01 - 31.12.2010 г.</t>
  </si>
  <si>
    <t>ЗА СЪБРАНИТЕ СРЕДСТВА ОТ ТАКСА БИТОВИ ОТПАДЪЦИ ЗА ПЕРИОДА 01.01 - 31.12.2010 г.</t>
  </si>
  <si>
    <t>ОБЩО ФИЗИЧЕСКИ И ЮРИДИЧЕСКИ ЛИЦА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</si>
</sst>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"/>
    <numFmt numFmtId="180" formatCode="0.00000000"/>
    <numFmt numFmtId="181" formatCode="0.0000000"/>
    <numFmt numFmtId="182" formatCode="0.000000"/>
  </numFmts>
  <fonts count="2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Calisto MT"/>
      <family val="1"/>
    </font>
    <font>
      <sz val="10"/>
      <name val="Calisto MT"/>
      <family val="1"/>
    </font>
    <font>
      <b/>
      <i/>
      <u val="single"/>
      <sz val="10"/>
      <name val="Calisto MT"/>
      <family val="1"/>
    </font>
    <font>
      <b/>
      <sz val="12"/>
      <name val="Calisto MT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178" fontId="0" fillId="0" borderId="8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7" xfId="0" applyFont="1" applyBorder="1" applyAlignment="1">
      <alignment horizontal="right"/>
    </xf>
    <xf numFmtId="2" fontId="0" fillId="0" borderId="8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0" fontId="1" fillId="0" borderId="7" xfId="0" applyFont="1" applyBorder="1" applyAlignment="1">
      <alignment horizontal="right"/>
    </xf>
    <xf numFmtId="1" fontId="0" fillId="0" borderId="7" xfId="0" applyNumberForma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6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9" fillId="0" borderId="7" xfId="0" applyFont="1" applyBorder="1" applyAlignment="1">
      <alignment/>
    </xf>
    <xf numFmtId="2" fontId="9" fillId="0" borderId="8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0" fontId="9" fillId="0" borderId="9" xfId="0" applyFont="1" applyBorder="1" applyAlignment="1">
      <alignment/>
    </xf>
    <xf numFmtId="2" fontId="9" fillId="0" borderId="9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16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 horizontal="left"/>
    </xf>
    <xf numFmtId="0" fontId="16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/>
    </xf>
    <xf numFmtId="2" fontId="17" fillId="0" borderId="27" xfId="0" applyNumberFormat="1" applyFont="1" applyBorder="1" applyAlignment="1">
      <alignment/>
    </xf>
    <xf numFmtId="2" fontId="17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2" fontId="16" fillId="0" borderId="29" xfId="0" applyNumberFormat="1" applyFont="1" applyBorder="1" applyAlignment="1">
      <alignment/>
    </xf>
    <xf numFmtId="2" fontId="16" fillId="0" borderId="3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6" fillId="0" borderId="27" xfId="0" applyFont="1" applyBorder="1" applyAlignment="1">
      <alignment/>
    </xf>
    <xf numFmtId="2" fontId="16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27" xfId="0" applyFont="1" applyBorder="1" applyAlignment="1">
      <alignment horizontal="right"/>
    </xf>
    <xf numFmtId="2" fontId="16" fillId="0" borderId="28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/>
    </xf>
    <xf numFmtId="2" fontId="17" fillId="0" borderId="31" xfId="0" applyNumberFormat="1" applyFont="1" applyFill="1" applyBorder="1" applyAlignment="1">
      <alignment/>
    </xf>
    <xf numFmtId="2" fontId="17" fillId="0" borderId="32" xfId="0" applyNumberFormat="1" applyFont="1" applyFill="1" applyBorder="1" applyAlignment="1">
      <alignment/>
    </xf>
    <xf numFmtId="2" fontId="17" fillId="0" borderId="27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2" fontId="16" fillId="0" borderId="0" xfId="0" applyNumberFormat="1" applyFont="1" applyAlignment="1">
      <alignment/>
    </xf>
    <xf numFmtId="2" fontId="16" fillId="0" borderId="29" xfId="0" applyNumberFormat="1" applyFont="1" applyFill="1" applyBorder="1" applyAlignment="1">
      <alignment/>
    </xf>
    <xf numFmtId="0" fontId="16" fillId="0" borderId="23" xfId="0" applyFont="1" applyBorder="1" applyAlignment="1">
      <alignment horizontal="right"/>
    </xf>
    <xf numFmtId="2" fontId="16" fillId="0" borderId="0" xfId="0" applyNumberFormat="1" applyFont="1" applyFill="1" applyBorder="1" applyAlignment="1">
      <alignment/>
    </xf>
    <xf numFmtId="2" fontId="17" fillId="0" borderId="29" xfId="0" applyNumberFormat="1" applyFont="1" applyBorder="1" applyAlignment="1">
      <alignment/>
    </xf>
    <xf numFmtId="2" fontId="17" fillId="0" borderId="3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17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H58"/>
  <sheetViews>
    <sheetView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37.7109375" style="0" customWidth="1"/>
    <col min="3" max="3" width="10.8515625" style="0" customWidth="1"/>
    <col min="4" max="4" width="11.8515625" style="0" customWidth="1"/>
    <col min="5" max="5" width="12.28125" style="0" customWidth="1"/>
  </cols>
  <sheetData>
    <row r="3" ht="12.75">
      <c r="E3" t="s">
        <v>49</v>
      </c>
    </row>
    <row r="5" spans="2:7" ht="15">
      <c r="B5" s="160" t="s">
        <v>48</v>
      </c>
      <c r="C5" s="160"/>
      <c r="D5" s="160"/>
      <c r="E5" s="160"/>
      <c r="F5" s="160"/>
      <c r="G5" s="160"/>
    </row>
    <row r="6" spans="2:7" ht="12.75">
      <c r="B6" s="2"/>
      <c r="C6" s="2"/>
      <c r="D6" s="2"/>
      <c r="E6" s="2"/>
      <c r="F6" s="2"/>
      <c r="G6" s="2"/>
    </row>
    <row r="8" spans="2:7" ht="12.75">
      <c r="B8" s="161" t="s">
        <v>176</v>
      </c>
      <c r="C8" s="161"/>
      <c r="D8" s="161"/>
      <c r="E8" s="161"/>
      <c r="F8" s="161"/>
      <c r="G8" s="161"/>
    </row>
    <row r="9" spans="2:7" ht="12.75">
      <c r="B9" s="2"/>
      <c r="C9" s="2"/>
      <c r="D9" s="2"/>
      <c r="E9" s="2"/>
      <c r="F9" s="2"/>
      <c r="G9" s="2"/>
    </row>
    <row r="10" ht="13.5" thickBot="1"/>
    <row r="11" spans="2:7" ht="13.5" thickTop="1">
      <c r="B11" s="3" t="s">
        <v>0</v>
      </c>
      <c r="C11" s="4" t="s">
        <v>1</v>
      </c>
      <c r="D11" s="4" t="s">
        <v>2</v>
      </c>
      <c r="E11" s="4" t="s">
        <v>2</v>
      </c>
      <c r="F11" s="158" t="s">
        <v>3</v>
      </c>
      <c r="G11" s="159"/>
    </row>
    <row r="12" spans="2:7" ht="12.75">
      <c r="B12" s="5"/>
      <c r="C12" s="6" t="s">
        <v>20</v>
      </c>
      <c r="D12" s="6" t="s">
        <v>21</v>
      </c>
      <c r="E12" s="6" t="s">
        <v>21</v>
      </c>
      <c r="F12" s="20"/>
      <c r="G12" s="21"/>
    </row>
    <row r="13" spans="2:7" ht="12.75">
      <c r="B13" s="5"/>
      <c r="C13" s="7" t="s">
        <v>133</v>
      </c>
      <c r="D13" s="7" t="s">
        <v>133</v>
      </c>
      <c r="E13" s="7" t="s">
        <v>134</v>
      </c>
      <c r="F13" s="7"/>
      <c r="G13" s="8"/>
    </row>
    <row r="14" spans="2:7" ht="12.75">
      <c r="B14" s="5"/>
      <c r="C14" s="6" t="s">
        <v>6</v>
      </c>
      <c r="D14" s="6" t="s">
        <v>6</v>
      </c>
      <c r="E14" s="6" t="s">
        <v>6</v>
      </c>
      <c r="F14" s="6" t="s">
        <v>4</v>
      </c>
      <c r="G14" s="9" t="s">
        <v>5</v>
      </c>
    </row>
    <row r="15" spans="2:7" ht="12.75">
      <c r="B15" s="17"/>
      <c r="C15" s="22">
        <v>1</v>
      </c>
      <c r="D15" s="22">
        <v>2</v>
      </c>
      <c r="E15" s="22">
        <v>3</v>
      </c>
      <c r="F15" s="22">
        <v>4</v>
      </c>
      <c r="G15" s="23">
        <v>5</v>
      </c>
    </row>
    <row r="16" spans="2:7" ht="12.75">
      <c r="B16" s="17" t="s">
        <v>7</v>
      </c>
      <c r="C16" s="11"/>
      <c r="D16" s="11"/>
      <c r="E16" s="11"/>
      <c r="F16" s="22"/>
      <c r="G16" s="23"/>
    </row>
    <row r="17" spans="2:7" ht="12.75">
      <c r="B17" s="17" t="s">
        <v>8</v>
      </c>
      <c r="C17" s="11">
        <f>SUM(C18:C22)</f>
        <v>286000</v>
      </c>
      <c r="D17" s="11">
        <f>SUM(D18:D22)</f>
        <v>183991</v>
      </c>
      <c r="E17" s="11">
        <f>SUM(E19:E22)</f>
        <v>111379</v>
      </c>
      <c r="F17" s="24">
        <f>SUM(D17/C17%)</f>
        <v>64.33251748251749</v>
      </c>
      <c r="G17" s="31">
        <f>SUM(D17/E17%)</f>
        <v>165.19361818655221</v>
      </c>
    </row>
    <row r="18" spans="2:7" ht="12.75">
      <c r="B18" s="37" t="s">
        <v>161</v>
      </c>
      <c r="C18" s="38">
        <v>16000</v>
      </c>
      <c r="D18" s="11">
        <v>10577</v>
      </c>
      <c r="E18" s="38"/>
      <c r="F18" s="14">
        <f>SUM(D18/C18%)</f>
        <v>66.10625</v>
      </c>
      <c r="G18" s="15"/>
    </row>
    <row r="19" spans="2:7" ht="12.75">
      <c r="B19" s="25" t="s">
        <v>11</v>
      </c>
      <c r="C19" s="13">
        <v>83000</v>
      </c>
      <c r="D19" s="13">
        <v>54556</v>
      </c>
      <c r="E19" s="13">
        <v>44079</v>
      </c>
      <c r="F19" s="14">
        <f aca="true" t="shared" si="0" ref="F19:F30">SUM(D19/C19%)</f>
        <v>65.73012048192771</v>
      </c>
      <c r="G19" s="15">
        <f aca="true" t="shared" si="1" ref="G19:G40">SUM(D19/E19%)</f>
        <v>123.7686880373874</v>
      </c>
    </row>
    <row r="20" spans="2:7" ht="12.75">
      <c r="B20" s="25" t="s">
        <v>12</v>
      </c>
      <c r="C20" s="13">
        <v>73000</v>
      </c>
      <c r="D20" s="13">
        <v>46585</v>
      </c>
      <c r="E20" s="13">
        <v>32152</v>
      </c>
      <c r="F20" s="14">
        <f t="shared" si="0"/>
        <v>63.81506849315068</v>
      </c>
      <c r="G20" s="15">
        <f t="shared" si="1"/>
        <v>144.88989798457328</v>
      </c>
    </row>
    <row r="21" spans="2:7" ht="12.75">
      <c r="B21" s="25" t="s">
        <v>160</v>
      </c>
      <c r="C21" s="13">
        <v>110000</v>
      </c>
      <c r="D21" s="13">
        <v>71496</v>
      </c>
      <c r="E21" s="13">
        <v>34167</v>
      </c>
      <c r="F21" s="14">
        <f t="shared" si="0"/>
        <v>64.99636363636364</v>
      </c>
      <c r="G21" s="15">
        <f t="shared" si="1"/>
        <v>209.2545438581087</v>
      </c>
    </row>
    <row r="22" spans="2:7" ht="12.75">
      <c r="B22" s="25" t="s">
        <v>13</v>
      </c>
      <c r="C22" s="13">
        <v>4000</v>
      </c>
      <c r="D22" s="13">
        <v>777</v>
      </c>
      <c r="E22" s="13">
        <v>981</v>
      </c>
      <c r="F22" s="14">
        <f t="shared" si="0"/>
        <v>19.425</v>
      </c>
      <c r="G22" s="15">
        <f t="shared" si="1"/>
        <v>79.20489296636086</v>
      </c>
    </row>
    <row r="23" spans="2:7" ht="12.75">
      <c r="B23" s="17" t="s">
        <v>9</v>
      </c>
      <c r="C23" s="11">
        <f>SUM(C24+C31+C41+C42+C43+C44+C47+C48)</f>
        <v>1948713</v>
      </c>
      <c r="D23" s="11">
        <f>SUM(D24+D31+D41+D42+D43+D44+D47+D48)</f>
        <v>795799</v>
      </c>
      <c r="E23" s="11">
        <f>SUM(E24+E31+E41+E42+E43+E44+E47+E48)</f>
        <v>702269</v>
      </c>
      <c r="F23" s="24">
        <f t="shared" si="0"/>
        <v>40.83715765225561</v>
      </c>
      <c r="G23" s="31">
        <f t="shared" si="1"/>
        <v>113.31825838816751</v>
      </c>
    </row>
    <row r="24" spans="2:7" ht="12.75">
      <c r="B24" s="17" t="s">
        <v>14</v>
      </c>
      <c r="C24" s="11">
        <f>C25+C26+C27+C28+C29+C30</f>
        <v>724579</v>
      </c>
      <c r="D24" s="11">
        <f>D25+D26+D27+D28+D29+D30</f>
        <v>197318</v>
      </c>
      <c r="E24" s="11">
        <f>E25+E26+E27+E28+E29+E30</f>
        <v>331709</v>
      </c>
      <c r="F24" s="24">
        <f t="shared" si="0"/>
        <v>27.232089254587837</v>
      </c>
      <c r="G24" s="31">
        <f t="shared" si="1"/>
        <v>59.48527172913608</v>
      </c>
    </row>
    <row r="25" spans="2:7" ht="12.75">
      <c r="B25" s="25" t="s">
        <v>162</v>
      </c>
      <c r="C25" s="13">
        <v>488160</v>
      </c>
      <c r="D25" s="13">
        <v>143981</v>
      </c>
      <c r="E25" s="13">
        <v>275840</v>
      </c>
      <c r="F25" s="39">
        <f t="shared" si="0"/>
        <v>29.494632907243524</v>
      </c>
      <c r="G25" s="53">
        <f t="shared" si="1"/>
        <v>52.19728828306264</v>
      </c>
    </row>
    <row r="26" spans="2:7" ht="12.75">
      <c r="B26" s="25" t="s">
        <v>55</v>
      </c>
      <c r="C26" s="13">
        <v>178200</v>
      </c>
      <c r="D26" s="13">
        <v>44801</v>
      </c>
      <c r="E26" s="13">
        <v>38932</v>
      </c>
      <c r="F26" s="39">
        <f t="shared" si="0"/>
        <v>25.14085297418631</v>
      </c>
      <c r="G26" s="53">
        <f t="shared" si="1"/>
        <v>115.07500256858111</v>
      </c>
    </row>
    <row r="27" spans="2:7" ht="12.75">
      <c r="B27" s="25" t="s">
        <v>56</v>
      </c>
      <c r="C27" s="13">
        <v>42000</v>
      </c>
      <c r="D27" s="13">
        <v>7051</v>
      </c>
      <c r="E27" s="13">
        <v>14116</v>
      </c>
      <c r="F27" s="39">
        <f t="shared" si="0"/>
        <v>16.788095238095238</v>
      </c>
      <c r="G27" s="53">
        <f t="shared" si="1"/>
        <v>49.950410881269484</v>
      </c>
    </row>
    <row r="28" spans="2:7" ht="12.75">
      <c r="B28" s="25" t="s">
        <v>57</v>
      </c>
      <c r="C28" s="13">
        <v>14900</v>
      </c>
      <c r="D28" s="13"/>
      <c r="E28" s="13">
        <v>1350</v>
      </c>
      <c r="F28" s="39">
        <f t="shared" si="0"/>
        <v>0</v>
      </c>
      <c r="G28" s="53">
        <f t="shared" si="1"/>
        <v>0</v>
      </c>
    </row>
    <row r="29" spans="2:7" ht="12.75">
      <c r="B29" s="25" t="s">
        <v>58</v>
      </c>
      <c r="C29" s="13">
        <v>1500</v>
      </c>
      <c r="D29" s="13">
        <v>1429</v>
      </c>
      <c r="E29" s="13">
        <v>1396</v>
      </c>
      <c r="F29" s="39">
        <f t="shared" si="0"/>
        <v>95.26666666666667</v>
      </c>
      <c r="G29" s="53">
        <f t="shared" si="1"/>
        <v>102.36389684813753</v>
      </c>
    </row>
    <row r="30" spans="2:7" ht="12.75">
      <c r="B30" s="25" t="s">
        <v>59</v>
      </c>
      <c r="C30" s="13">
        <v>-181</v>
      </c>
      <c r="D30" s="13">
        <v>56</v>
      </c>
      <c r="E30" s="13">
        <v>75</v>
      </c>
      <c r="F30" s="39">
        <f t="shared" si="0"/>
        <v>-30.939226519337016</v>
      </c>
      <c r="G30" s="53">
        <f t="shared" si="1"/>
        <v>74.66666666666667</v>
      </c>
    </row>
    <row r="31" spans="2:7" ht="12.75">
      <c r="B31" s="17" t="s">
        <v>15</v>
      </c>
      <c r="C31" s="11">
        <f>C32+C33+C34+C35+C36+C37+C38+C40+C39</f>
        <v>976043</v>
      </c>
      <c r="D31" s="11">
        <f>D32+D33+D34+D35+D36+D37+D38+D40+D39</f>
        <v>432544</v>
      </c>
      <c r="E31" s="11">
        <f>E32+E33+E34+E35+E36+E37+E38+E40+E39</f>
        <v>291471</v>
      </c>
      <c r="F31" s="24">
        <f>SUM(D31/C31%)</f>
        <v>44.31608033662451</v>
      </c>
      <c r="G31" s="31">
        <f t="shared" si="1"/>
        <v>148.40035543844843</v>
      </c>
    </row>
    <row r="32" spans="2:7" ht="12.75">
      <c r="B32" s="37" t="s">
        <v>60</v>
      </c>
      <c r="C32" s="13">
        <v>73000</v>
      </c>
      <c r="D32" s="13">
        <v>36204</v>
      </c>
      <c r="E32" s="13">
        <v>30597</v>
      </c>
      <c r="F32" s="39">
        <f>SUM(D32/C32%)</f>
        <v>49.59452054794521</v>
      </c>
      <c r="G32" s="15">
        <f t="shared" si="1"/>
        <v>118.32532601235414</v>
      </c>
    </row>
    <row r="33" spans="2:7" ht="12.75">
      <c r="B33" s="37" t="s">
        <v>61</v>
      </c>
      <c r="C33" s="13">
        <v>5450</v>
      </c>
      <c r="D33" s="13">
        <v>3631</v>
      </c>
      <c r="E33" s="13">
        <v>2502</v>
      </c>
      <c r="F33" s="39">
        <f>SUM(D33/C33%)</f>
        <v>66.62385321100918</v>
      </c>
      <c r="G33" s="15">
        <f t="shared" si="1"/>
        <v>145.12390087929657</v>
      </c>
    </row>
    <row r="34" spans="2:7" ht="12.75">
      <c r="B34" s="37" t="s">
        <v>163</v>
      </c>
      <c r="C34" s="13">
        <v>29050</v>
      </c>
      <c r="D34" s="13">
        <v>24825</v>
      </c>
      <c r="E34" s="13">
        <v>9326</v>
      </c>
      <c r="F34" s="39">
        <f>SUM(D34/C34%)</f>
        <v>85.45611015490533</v>
      </c>
      <c r="G34" s="15">
        <f t="shared" si="1"/>
        <v>266.1912931589106</v>
      </c>
    </row>
    <row r="35" spans="2:7" ht="12.75">
      <c r="B35" s="37" t="s">
        <v>164</v>
      </c>
      <c r="C35" s="13">
        <v>11500</v>
      </c>
      <c r="D35" s="13">
        <v>2955</v>
      </c>
      <c r="E35" s="13">
        <v>5089</v>
      </c>
      <c r="F35" s="39">
        <f>SUM(D35/C35%)</f>
        <v>25.695652173913043</v>
      </c>
      <c r="G35" s="15">
        <f t="shared" si="1"/>
        <v>58.06641776380428</v>
      </c>
    </row>
    <row r="36" spans="2:7" ht="12.75">
      <c r="B36" s="25" t="s">
        <v>165</v>
      </c>
      <c r="C36" s="13">
        <v>318743</v>
      </c>
      <c r="D36" s="13">
        <v>213487</v>
      </c>
      <c r="E36" s="13">
        <v>138351</v>
      </c>
      <c r="F36" s="14">
        <f aca="true" t="shared" si="2" ref="F36:F48">SUM(D36/C36%)</f>
        <v>66.97778461017184</v>
      </c>
      <c r="G36" s="15">
        <f t="shared" si="1"/>
        <v>154.30824497112417</v>
      </c>
    </row>
    <row r="37" spans="2:7" ht="12.75">
      <c r="B37" s="25" t="s">
        <v>62</v>
      </c>
      <c r="C37" s="13">
        <v>21000</v>
      </c>
      <c r="D37" s="13">
        <v>8880</v>
      </c>
      <c r="E37" s="13">
        <v>12208</v>
      </c>
      <c r="F37" s="14">
        <f t="shared" si="2"/>
        <v>42.285714285714285</v>
      </c>
      <c r="G37" s="15">
        <f t="shared" si="1"/>
        <v>72.7391874180865</v>
      </c>
    </row>
    <row r="38" spans="2:7" ht="12.75">
      <c r="B38" s="25" t="s">
        <v>63</v>
      </c>
      <c r="C38" s="13">
        <v>50000</v>
      </c>
      <c r="D38" s="13">
        <v>18087</v>
      </c>
      <c r="E38" s="13">
        <v>21480</v>
      </c>
      <c r="F38" s="14">
        <f t="shared" si="2"/>
        <v>36.174</v>
      </c>
      <c r="G38" s="15">
        <f t="shared" si="1"/>
        <v>84.20391061452513</v>
      </c>
    </row>
    <row r="39" spans="2:7" ht="12.75">
      <c r="B39" s="25" t="s">
        <v>166</v>
      </c>
      <c r="C39" s="13">
        <v>200</v>
      </c>
      <c r="D39" s="13">
        <v>18</v>
      </c>
      <c r="E39" s="13">
        <v>12</v>
      </c>
      <c r="F39" s="14">
        <f t="shared" si="2"/>
        <v>9</v>
      </c>
      <c r="G39" s="15">
        <f t="shared" si="1"/>
        <v>150</v>
      </c>
    </row>
    <row r="40" spans="2:7" ht="12.75">
      <c r="B40" s="25" t="s">
        <v>167</v>
      </c>
      <c r="C40" s="13">
        <v>467100</v>
      </c>
      <c r="D40" s="13">
        <v>124457</v>
      </c>
      <c r="E40" s="13">
        <v>71906</v>
      </c>
      <c r="F40" s="14">
        <f t="shared" si="2"/>
        <v>26.644615713979874</v>
      </c>
      <c r="G40" s="15">
        <f t="shared" si="1"/>
        <v>173.0829138041332</v>
      </c>
    </row>
    <row r="41" spans="2:7" ht="12.75">
      <c r="B41" s="17" t="s">
        <v>168</v>
      </c>
      <c r="C41" s="11">
        <v>9000</v>
      </c>
      <c r="D41" s="11">
        <v>4523</v>
      </c>
      <c r="E41" s="11">
        <v>2633</v>
      </c>
      <c r="F41" s="24">
        <f t="shared" si="2"/>
        <v>50.25555555555555</v>
      </c>
      <c r="G41" s="31">
        <f aca="true" t="shared" si="3" ref="G41:G56">SUM(D41/E41%)</f>
        <v>171.78123813140905</v>
      </c>
    </row>
    <row r="42" spans="2:7" ht="12.75">
      <c r="B42" s="17" t="s">
        <v>16</v>
      </c>
      <c r="C42" s="11">
        <v>21000</v>
      </c>
      <c r="D42" s="11">
        <v>2089</v>
      </c>
      <c r="E42" s="11">
        <v>17120</v>
      </c>
      <c r="F42" s="24">
        <f t="shared" si="2"/>
        <v>9.947619047619048</v>
      </c>
      <c r="G42" s="31">
        <f t="shared" si="3"/>
        <v>12.202102803738319</v>
      </c>
    </row>
    <row r="43" spans="2:8" ht="12.75">
      <c r="B43" s="17" t="s">
        <v>169</v>
      </c>
      <c r="C43" s="11">
        <v>-60000</v>
      </c>
      <c r="D43" s="11">
        <v>-10557</v>
      </c>
      <c r="E43" s="11">
        <v>-62127</v>
      </c>
      <c r="F43" s="24">
        <f t="shared" si="2"/>
        <v>17.595</v>
      </c>
      <c r="G43" s="31">
        <f t="shared" si="3"/>
        <v>16.992611907866145</v>
      </c>
      <c r="H43" t="s">
        <v>50</v>
      </c>
    </row>
    <row r="44" spans="2:7" ht="12.75">
      <c r="B44" s="17" t="s">
        <v>170</v>
      </c>
      <c r="C44" s="11">
        <f>C45+C46</f>
        <v>241000</v>
      </c>
      <c r="D44" s="11">
        <f>D45+D46</f>
        <v>157020</v>
      </c>
      <c r="E44" s="11">
        <f>E45+E46</f>
        <v>110101</v>
      </c>
      <c r="F44" s="24">
        <f t="shared" si="2"/>
        <v>65.15352697095436</v>
      </c>
      <c r="G44" s="31">
        <f t="shared" si="3"/>
        <v>142.6145084967439</v>
      </c>
    </row>
    <row r="45" spans="2:7" ht="12.75">
      <c r="B45" s="37" t="s">
        <v>64</v>
      </c>
      <c r="C45" s="38">
        <v>201000</v>
      </c>
      <c r="D45" s="38">
        <v>55191</v>
      </c>
      <c r="E45" s="38">
        <v>44352</v>
      </c>
      <c r="F45" s="24">
        <f t="shared" si="2"/>
        <v>27.45820895522388</v>
      </c>
      <c r="G45" s="53">
        <f t="shared" si="3"/>
        <v>124.43858225108225</v>
      </c>
    </row>
    <row r="46" spans="2:7" ht="12.75">
      <c r="B46" s="37" t="s">
        <v>65</v>
      </c>
      <c r="C46" s="38">
        <v>40000</v>
      </c>
      <c r="D46" s="38">
        <v>101829</v>
      </c>
      <c r="E46" s="38">
        <v>65749</v>
      </c>
      <c r="F46" s="24">
        <f t="shared" si="2"/>
        <v>254.5725</v>
      </c>
      <c r="G46" s="53">
        <f t="shared" si="3"/>
        <v>154.8753593210543</v>
      </c>
    </row>
    <row r="47" spans="2:7" ht="12.75">
      <c r="B47" s="17" t="s">
        <v>17</v>
      </c>
      <c r="C47" s="11">
        <v>34400</v>
      </c>
      <c r="D47" s="11">
        <v>10171</v>
      </c>
      <c r="E47" s="11">
        <v>5142</v>
      </c>
      <c r="F47" s="24">
        <f t="shared" si="2"/>
        <v>29.566860465116278</v>
      </c>
      <c r="G47" s="31">
        <f t="shared" si="3"/>
        <v>197.80241151302994</v>
      </c>
    </row>
    <row r="48" spans="2:7" ht="12.75">
      <c r="B48" s="17" t="s">
        <v>18</v>
      </c>
      <c r="C48" s="11">
        <v>2691</v>
      </c>
      <c r="D48" s="11">
        <v>2691</v>
      </c>
      <c r="E48" s="11">
        <v>6220</v>
      </c>
      <c r="F48" s="24">
        <f t="shared" si="2"/>
        <v>100</v>
      </c>
      <c r="G48" s="31">
        <f t="shared" si="3"/>
        <v>43.263665594855304</v>
      </c>
    </row>
    <row r="49" spans="2:7" ht="12.75">
      <c r="B49" s="17" t="s">
        <v>19</v>
      </c>
      <c r="C49" s="11">
        <f>SUM(C17+C23)</f>
        <v>2234713</v>
      </c>
      <c r="D49" s="11">
        <f>SUM(D17+D23)</f>
        <v>979790</v>
      </c>
      <c r="E49" s="11">
        <f>SUM(E17+E23)</f>
        <v>813648</v>
      </c>
      <c r="F49" s="24">
        <f aca="true" t="shared" si="4" ref="F49:F56">SUM(D49/C49%)</f>
        <v>43.84410884082207</v>
      </c>
      <c r="G49" s="31">
        <f t="shared" si="3"/>
        <v>120.41939511926535</v>
      </c>
    </row>
    <row r="50" spans="2:7" ht="12.75">
      <c r="B50" s="17" t="s">
        <v>132</v>
      </c>
      <c r="C50" s="11">
        <v>6795797</v>
      </c>
      <c r="D50" s="11">
        <v>3413338</v>
      </c>
      <c r="E50" s="11">
        <v>2695623</v>
      </c>
      <c r="F50" s="24">
        <f t="shared" si="4"/>
        <v>50.22719189522583</v>
      </c>
      <c r="G50" s="31">
        <f t="shared" si="3"/>
        <v>126.62519944369076</v>
      </c>
    </row>
    <row r="51" spans="2:7" ht="12.75">
      <c r="B51" s="17" t="s">
        <v>10</v>
      </c>
      <c r="C51" s="11">
        <v>569640</v>
      </c>
      <c r="D51" s="11">
        <v>507640</v>
      </c>
      <c r="E51" s="11">
        <v>494219</v>
      </c>
      <c r="F51" s="24">
        <f t="shared" si="4"/>
        <v>89.11593286988274</v>
      </c>
      <c r="G51" s="31">
        <f t="shared" si="3"/>
        <v>102.7155977410824</v>
      </c>
    </row>
    <row r="52" spans="2:7" ht="12.75">
      <c r="B52" s="17" t="s">
        <v>171</v>
      </c>
      <c r="C52" s="11"/>
      <c r="D52" s="11"/>
      <c r="E52" s="11"/>
      <c r="F52" s="24"/>
      <c r="G52" s="31"/>
    </row>
    <row r="53" spans="2:7" ht="12.75">
      <c r="B53" s="17" t="s">
        <v>172</v>
      </c>
      <c r="C53" s="11">
        <v>-51633</v>
      </c>
      <c r="D53" s="11">
        <v>-50000</v>
      </c>
      <c r="E53" s="11">
        <v>-161897</v>
      </c>
      <c r="F53" s="24">
        <f t="shared" si="4"/>
        <v>96.83729397865706</v>
      </c>
      <c r="G53" s="31">
        <f t="shared" si="3"/>
        <v>30.883833548490706</v>
      </c>
    </row>
    <row r="54" spans="2:7" ht="12.75">
      <c r="B54" s="33" t="s">
        <v>174</v>
      </c>
      <c r="C54" s="20">
        <v>307574</v>
      </c>
      <c r="D54" s="20">
        <v>-449147</v>
      </c>
      <c r="E54" s="20"/>
      <c r="F54" s="63"/>
      <c r="G54" s="31"/>
    </row>
    <row r="55" spans="2:7" ht="12.75">
      <c r="B55" s="33" t="s">
        <v>173</v>
      </c>
      <c r="C55" s="20"/>
      <c r="D55" s="20"/>
      <c r="E55" s="20"/>
      <c r="F55" s="63"/>
      <c r="G55" s="31"/>
    </row>
    <row r="56" spans="2:7" ht="13.5" thickBot="1">
      <c r="B56" s="112" t="s">
        <v>175</v>
      </c>
      <c r="C56" s="65">
        <f>SUM(C49:C55)</f>
        <v>9856091</v>
      </c>
      <c r="D56" s="65">
        <f>SUM(D49:D55)</f>
        <v>4401621</v>
      </c>
      <c r="E56" s="65">
        <f>SUM(E49:E55)</f>
        <v>3841593</v>
      </c>
      <c r="F56" s="66">
        <f t="shared" si="4"/>
        <v>44.65889164375613</v>
      </c>
      <c r="G56" s="67">
        <f t="shared" si="3"/>
        <v>114.57801490163065</v>
      </c>
    </row>
    <row r="57" spans="3:5" ht="13.5" thickTop="1">
      <c r="C57" s="34"/>
      <c r="E57" s="55"/>
    </row>
    <row r="58" spans="2:5" ht="12.75">
      <c r="B58" s="34"/>
      <c r="C58" s="1"/>
      <c r="D58" s="1"/>
      <c r="E58" s="1"/>
    </row>
  </sheetData>
  <mergeCells count="3">
    <mergeCell ref="F11:G11"/>
    <mergeCell ref="B5:G5"/>
    <mergeCell ref="B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42"/>
  <sheetViews>
    <sheetView workbookViewId="0" topLeftCell="A147">
      <selection activeCell="B247" sqref="B247"/>
    </sheetView>
  </sheetViews>
  <sheetFormatPr defaultColWidth="9.140625" defaultRowHeight="12.75"/>
  <cols>
    <col min="1" max="1" width="5.8515625" style="0" customWidth="1"/>
    <col min="2" max="2" width="40.7109375" style="0" customWidth="1"/>
    <col min="3" max="3" width="11.7109375" style="0" customWidth="1"/>
    <col min="4" max="5" width="12.421875" style="0" customWidth="1"/>
  </cols>
  <sheetData>
    <row r="1" ht="12.75">
      <c r="E1" t="s">
        <v>47</v>
      </c>
    </row>
    <row r="2" spans="2:7" ht="12.75" customHeight="1">
      <c r="B2" s="162" t="s">
        <v>48</v>
      </c>
      <c r="C2" s="162"/>
      <c r="D2" s="162"/>
      <c r="E2" s="162"/>
      <c r="F2" s="162"/>
      <c r="G2" s="162"/>
    </row>
    <row r="4" spans="2:7" ht="12.75">
      <c r="B4" s="163" t="s">
        <v>135</v>
      </c>
      <c r="C4" s="163"/>
      <c r="D4" s="163"/>
      <c r="E4" s="163"/>
      <c r="F4" s="163"/>
      <c r="G4" s="163"/>
    </row>
    <row r="5" ht="13.5" thickBot="1"/>
    <row r="6" spans="2:7" ht="13.5" thickTop="1">
      <c r="B6" s="3"/>
      <c r="C6" s="4" t="s">
        <v>1</v>
      </c>
      <c r="D6" s="4" t="s">
        <v>2</v>
      </c>
      <c r="E6" s="4" t="s">
        <v>2</v>
      </c>
      <c r="F6" s="158" t="s">
        <v>3</v>
      </c>
      <c r="G6" s="159"/>
    </row>
    <row r="7" spans="2:7" ht="12.75">
      <c r="B7" s="5"/>
      <c r="C7" s="6" t="s">
        <v>20</v>
      </c>
      <c r="D7" s="6" t="s">
        <v>21</v>
      </c>
      <c r="E7" s="6" t="s">
        <v>21</v>
      </c>
      <c r="F7" s="20"/>
      <c r="G7" s="21"/>
    </row>
    <row r="8" spans="2:7" ht="15.75">
      <c r="B8" s="18" t="s">
        <v>46</v>
      </c>
      <c r="C8" s="7" t="s">
        <v>133</v>
      </c>
      <c r="D8" s="7" t="s">
        <v>133</v>
      </c>
      <c r="E8" s="7" t="s">
        <v>134</v>
      </c>
      <c r="F8" s="7"/>
      <c r="G8" s="8"/>
    </row>
    <row r="9" spans="2:7" ht="12.75">
      <c r="B9" s="5"/>
      <c r="C9" s="6" t="s">
        <v>6</v>
      </c>
      <c r="D9" s="6" t="s">
        <v>6</v>
      </c>
      <c r="E9" s="6" t="s">
        <v>6</v>
      </c>
      <c r="F9" s="6" t="s">
        <v>4</v>
      </c>
      <c r="G9" s="9" t="s">
        <v>5</v>
      </c>
    </row>
    <row r="10" spans="2:7" ht="12.75">
      <c r="B10" s="17"/>
      <c r="C10" s="22">
        <v>1</v>
      </c>
      <c r="D10" s="22">
        <v>2</v>
      </c>
      <c r="E10" s="22">
        <v>3</v>
      </c>
      <c r="F10" s="22">
        <v>4</v>
      </c>
      <c r="G10" s="23">
        <v>5</v>
      </c>
    </row>
    <row r="11" spans="2:7" ht="14.25">
      <c r="B11" s="10" t="s">
        <v>22</v>
      </c>
      <c r="C11" s="11">
        <f>SUM(C12:C18)</f>
        <v>1239045</v>
      </c>
      <c r="D11" s="11">
        <f>SUM(D12:D18)</f>
        <v>606584</v>
      </c>
      <c r="E11" s="11">
        <f>SUM(E12:E18)</f>
        <v>0</v>
      </c>
      <c r="F11" s="24">
        <f>SUM(D11/C11%)</f>
        <v>48.955768353853166</v>
      </c>
      <c r="G11" s="31" t="e">
        <f aca="true" t="shared" si="0" ref="G11:G70">SUM(D11/E11%)</f>
        <v>#DIV/0!</v>
      </c>
    </row>
    <row r="12" spans="2:7" ht="15">
      <c r="B12" s="12" t="s">
        <v>23</v>
      </c>
      <c r="C12" s="13">
        <v>565713</v>
      </c>
      <c r="D12" s="13">
        <f>30985+215116</f>
        <v>246101</v>
      </c>
      <c r="E12" s="13"/>
      <c r="F12" s="24">
        <f aca="true" t="shared" si="1" ref="F12:F17">SUM(D12/C12%)</f>
        <v>43.50280089020404</v>
      </c>
      <c r="G12" s="15" t="e">
        <f>SUM(D12/E12%)</f>
        <v>#DIV/0!</v>
      </c>
    </row>
    <row r="13" spans="2:7" ht="15">
      <c r="B13" s="12" t="s">
        <v>24</v>
      </c>
      <c r="C13" s="13">
        <v>84884</v>
      </c>
      <c r="D13" s="13">
        <f>214+21568</f>
        <v>21782</v>
      </c>
      <c r="E13" s="13"/>
      <c r="F13" s="24">
        <f t="shared" si="1"/>
        <v>25.660901936760755</v>
      </c>
      <c r="G13" s="15" t="e">
        <f t="shared" si="0"/>
        <v>#DIV/0!</v>
      </c>
    </row>
    <row r="14" spans="2:7" ht="15">
      <c r="B14" s="12" t="s">
        <v>25</v>
      </c>
      <c r="C14" s="13">
        <v>146296</v>
      </c>
      <c r="D14" s="13">
        <f>8195+53749</f>
        <v>61944</v>
      </c>
      <c r="E14" s="13"/>
      <c r="F14" s="24">
        <f t="shared" si="1"/>
        <v>42.341554109476675</v>
      </c>
      <c r="G14" s="15" t="e">
        <f t="shared" si="0"/>
        <v>#DIV/0!</v>
      </c>
    </row>
    <row r="15" spans="2:7" ht="15">
      <c r="B15" s="12" t="s">
        <v>26</v>
      </c>
      <c r="C15" s="13">
        <v>412232</v>
      </c>
      <c r="D15" s="13">
        <v>253556</v>
      </c>
      <c r="E15" s="13"/>
      <c r="F15" s="24">
        <f t="shared" si="1"/>
        <v>61.508082827145884</v>
      </c>
      <c r="G15" s="15" t="e">
        <f t="shared" si="0"/>
        <v>#DIV/0!</v>
      </c>
    </row>
    <row r="16" spans="2:7" ht="15">
      <c r="B16" s="12" t="s">
        <v>27</v>
      </c>
      <c r="C16" s="13">
        <v>4000</v>
      </c>
      <c r="D16" s="13">
        <v>981</v>
      </c>
      <c r="E16" s="13"/>
      <c r="F16" s="24">
        <f t="shared" si="1"/>
        <v>24.525</v>
      </c>
      <c r="G16" s="15" t="e">
        <f t="shared" si="0"/>
        <v>#DIV/0!</v>
      </c>
    </row>
    <row r="17" spans="2:7" ht="15">
      <c r="B17" s="12" t="s">
        <v>28</v>
      </c>
      <c r="C17" s="13">
        <v>6000</v>
      </c>
      <c r="D17" s="13">
        <v>3500</v>
      </c>
      <c r="E17" s="13"/>
      <c r="F17" s="24">
        <f t="shared" si="1"/>
        <v>58.333333333333336</v>
      </c>
      <c r="G17" s="15" t="e">
        <f t="shared" si="0"/>
        <v>#DIV/0!</v>
      </c>
    </row>
    <row r="18" spans="2:7" ht="15">
      <c r="B18" s="12" t="s">
        <v>29</v>
      </c>
      <c r="C18" s="13">
        <v>19920</v>
      </c>
      <c r="D18" s="13">
        <v>18720</v>
      </c>
      <c r="E18" s="13"/>
      <c r="F18" s="14">
        <f aca="true" t="shared" si="2" ref="F18:F23">SUM(D18/C18%)</f>
        <v>93.97590361445783</v>
      </c>
      <c r="G18" s="15" t="e">
        <f t="shared" si="0"/>
        <v>#DIV/0!</v>
      </c>
    </row>
    <row r="19" spans="2:7" ht="14.25">
      <c r="B19" s="10" t="s">
        <v>53</v>
      </c>
      <c r="C19" s="11">
        <f>SUM(C20:C23)</f>
        <v>86708</v>
      </c>
      <c r="D19" s="11">
        <f>SUM(D20:D23)</f>
        <v>40407</v>
      </c>
      <c r="E19" s="11">
        <f>SUM(E20:E23)</f>
        <v>18848</v>
      </c>
      <c r="F19" s="14">
        <f t="shared" si="2"/>
        <v>46.60123633344097</v>
      </c>
      <c r="G19" s="15">
        <f t="shared" si="0"/>
        <v>214.38348896434636</v>
      </c>
    </row>
    <row r="20" spans="2:7" ht="15">
      <c r="B20" s="12" t="s">
        <v>23</v>
      </c>
      <c r="C20" s="13">
        <v>14688</v>
      </c>
      <c r="D20" s="13">
        <v>6761</v>
      </c>
      <c r="E20" s="13">
        <v>3023</v>
      </c>
      <c r="F20" s="14">
        <f t="shared" si="2"/>
        <v>46.030773420479306</v>
      </c>
      <c r="G20" s="15">
        <f t="shared" si="0"/>
        <v>223.65200132318887</v>
      </c>
    </row>
    <row r="21" spans="2:7" ht="15">
      <c r="B21" s="12" t="s">
        <v>24</v>
      </c>
      <c r="C21" s="13">
        <v>30243</v>
      </c>
      <c r="D21" s="13">
        <v>11115</v>
      </c>
      <c r="E21" s="13">
        <v>8308</v>
      </c>
      <c r="F21" s="14">
        <f t="shared" si="2"/>
        <v>36.752306318817574</v>
      </c>
      <c r="G21" s="15">
        <f t="shared" si="0"/>
        <v>133.78671160327394</v>
      </c>
    </row>
    <row r="22" spans="2:7" ht="15">
      <c r="B22" s="12" t="s">
        <v>25</v>
      </c>
      <c r="C22" s="13">
        <v>9077</v>
      </c>
      <c r="D22" s="13">
        <v>3647</v>
      </c>
      <c r="E22" s="13">
        <v>2694</v>
      </c>
      <c r="F22" s="14">
        <f t="shared" si="2"/>
        <v>40.1784730637876</v>
      </c>
      <c r="G22" s="15">
        <f t="shared" si="0"/>
        <v>135.37490720118782</v>
      </c>
    </row>
    <row r="23" spans="2:7" ht="15">
      <c r="B23" s="12" t="s">
        <v>26</v>
      </c>
      <c r="C23" s="13">
        <v>32700</v>
      </c>
      <c r="D23" s="13">
        <v>18884</v>
      </c>
      <c r="E23" s="13">
        <v>4823</v>
      </c>
      <c r="F23" s="14">
        <f t="shared" si="2"/>
        <v>57.74923547400611</v>
      </c>
      <c r="G23" s="15">
        <f t="shared" si="0"/>
        <v>391.5405349367614</v>
      </c>
    </row>
    <row r="24" spans="2:7" ht="14.25">
      <c r="B24" s="16" t="s">
        <v>30</v>
      </c>
      <c r="C24" s="11">
        <f>SUM(C25:C28)</f>
        <v>1081541</v>
      </c>
      <c r="D24" s="11">
        <f>SUM(D25:D28)</f>
        <v>54525</v>
      </c>
      <c r="E24" s="11">
        <f>SUM(E25:E28)</f>
        <v>15420</v>
      </c>
      <c r="F24" s="24">
        <f aca="true" t="shared" si="3" ref="F24:F49">SUM(D24/C24%)</f>
        <v>5.041417754851643</v>
      </c>
      <c r="G24" s="31">
        <f t="shared" si="0"/>
        <v>353.5992217898833</v>
      </c>
    </row>
    <row r="25" spans="2:7" ht="15">
      <c r="B25" s="12" t="s">
        <v>114</v>
      </c>
      <c r="C25" s="13">
        <v>41938</v>
      </c>
      <c r="D25" s="13">
        <v>11382</v>
      </c>
      <c r="E25" s="13">
        <v>3868</v>
      </c>
      <c r="F25" s="14">
        <f t="shared" si="3"/>
        <v>27.140063903858078</v>
      </c>
      <c r="G25" s="15">
        <f t="shared" si="0"/>
        <v>294.2605997931748</v>
      </c>
    </row>
    <row r="26" spans="2:7" ht="15">
      <c r="B26" s="12" t="s">
        <v>25</v>
      </c>
      <c r="C26" s="13">
        <v>8459</v>
      </c>
      <c r="D26" s="13">
        <v>2170</v>
      </c>
      <c r="E26" s="13">
        <v>815</v>
      </c>
      <c r="F26" s="14">
        <f t="shared" si="3"/>
        <v>25.653150490601725</v>
      </c>
      <c r="G26" s="15">
        <f t="shared" si="0"/>
        <v>266.25766871165644</v>
      </c>
    </row>
    <row r="27" spans="2:7" ht="15">
      <c r="B27" s="12" t="s">
        <v>26</v>
      </c>
      <c r="C27" s="13">
        <v>18791</v>
      </c>
      <c r="D27" s="13">
        <v>3458</v>
      </c>
      <c r="E27" s="13">
        <v>4736</v>
      </c>
      <c r="F27" s="14">
        <f t="shared" si="3"/>
        <v>18.40242669362993</v>
      </c>
      <c r="G27" s="15">
        <f t="shared" si="0"/>
        <v>73.01520270270271</v>
      </c>
    </row>
    <row r="28" spans="2:7" ht="15">
      <c r="B28" s="12" t="s">
        <v>29</v>
      </c>
      <c r="C28" s="13">
        <v>1012353</v>
      </c>
      <c r="D28" s="13">
        <v>37515</v>
      </c>
      <c r="E28" s="13">
        <v>6001</v>
      </c>
      <c r="F28" s="14">
        <f t="shared" si="3"/>
        <v>3.70572320129441</v>
      </c>
      <c r="G28" s="15">
        <f t="shared" si="0"/>
        <v>625.1458090318281</v>
      </c>
    </row>
    <row r="29" spans="2:7" ht="14.25">
      <c r="B29" s="10" t="s">
        <v>31</v>
      </c>
      <c r="C29" s="11">
        <f>SUM(C30:C35)</f>
        <v>3169873</v>
      </c>
      <c r="D29" s="11">
        <f>SUM(D30:D35)</f>
        <v>1589212</v>
      </c>
      <c r="E29" s="11">
        <f>SUM(E30:E35)</f>
        <v>618911</v>
      </c>
      <c r="F29" s="24">
        <f t="shared" si="3"/>
        <v>50.13487922071326</v>
      </c>
      <c r="G29" s="31">
        <f t="shared" si="0"/>
        <v>256.7755299227191</v>
      </c>
    </row>
    <row r="30" spans="2:7" ht="15">
      <c r="B30" s="12" t="s">
        <v>23</v>
      </c>
      <c r="C30" s="13">
        <v>1764110</v>
      </c>
      <c r="D30" s="13">
        <v>853896</v>
      </c>
      <c r="E30" s="13">
        <v>332491</v>
      </c>
      <c r="F30" s="14">
        <f t="shared" si="3"/>
        <v>48.40378434451367</v>
      </c>
      <c r="G30" s="15">
        <f t="shared" si="0"/>
        <v>256.81777852633604</v>
      </c>
    </row>
    <row r="31" spans="2:7" ht="15">
      <c r="B31" s="12" t="s">
        <v>24</v>
      </c>
      <c r="C31" s="13">
        <v>51068</v>
      </c>
      <c r="D31" s="13">
        <v>22215</v>
      </c>
      <c r="E31" s="13">
        <v>2193</v>
      </c>
      <c r="F31" s="14">
        <f t="shared" si="3"/>
        <v>43.50082243283465</v>
      </c>
      <c r="G31" s="15">
        <f t="shared" si="0"/>
        <v>1012.9958960328318</v>
      </c>
    </row>
    <row r="32" spans="2:7" ht="15">
      <c r="B32" s="12" t="s">
        <v>25</v>
      </c>
      <c r="C32" s="13">
        <v>406662</v>
      </c>
      <c r="D32" s="13">
        <v>199129</v>
      </c>
      <c r="E32" s="13">
        <v>88813</v>
      </c>
      <c r="F32" s="14">
        <f t="shared" si="3"/>
        <v>48.96670945404291</v>
      </c>
      <c r="G32" s="15">
        <f t="shared" si="0"/>
        <v>224.21154560706202</v>
      </c>
    </row>
    <row r="33" spans="2:7" ht="15">
      <c r="B33" s="12" t="s">
        <v>26</v>
      </c>
      <c r="C33" s="13">
        <v>928709</v>
      </c>
      <c r="D33" s="13">
        <v>503388</v>
      </c>
      <c r="E33" s="13">
        <v>165752</v>
      </c>
      <c r="F33" s="14">
        <f t="shared" si="3"/>
        <v>54.20298500391404</v>
      </c>
      <c r="G33" s="15">
        <f t="shared" si="0"/>
        <v>303.6995028717602</v>
      </c>
    </row>
    <row r="34" spans="2:7" ht="15">
      <c r="B34" s="12" t="s">
        <v>32</v>
      </c>
      <c r="C34" s="13">
        <v>19324</v>
      </c>
      <c r="D34" s="13">
        <v>10584</v>
      </c>
      <c r="E34" s="13">
        <v>4779</v>
      </c>
      <c r="F34" s="14">
        <f t="shared" si="3"/>
        <v>54.77126888842889</v>
      </c>
      <c r="G34" s="15">
        <f t="shared" si="0"/>
        <v>221.46892655367233</v>
      </c>
    </row>
    <row r="35" spans="2:7" ht="15">
      <c r="B35" s="12" t="s">
        <v>29</v>
      </c>
      <c r="C35" s="13"/>
      <c r="D35" s="13"/>
      <c r="E35" s="13">
        <v>24883</v>
      </c>
      <c r="F35" s="14" t="e">
        <f t="shared" si="3"/>
        <v>#DIV/0!</v>
      </c>
      <c r="G35" s="15">
        <f t="shared" si="0"/>
        <v>0</v>
      </c>
    </row>
    <row r="36" spans="2:7" ht="14.25">
      <c r="B36" s="10" t="s">
        <v>33</v>
      </c>
      <c r="C36" s="11">
        <f>SUM(C37:C41)</f>
        <v>93078</v>
      </c>
      <c r="D36" s="11">
        <f>SUM(D37:D41)</f>
        <v>39874</v>
      </c>
      <c r="E36" s="11">
        <f>SUM(E37:E41)</f>
        <v>12347</v>
      </c>
      <c r="F36" s="24">
        <f t="shared" si="3"/>
        <v>42.839339048969684</v>
      </c>
      <c r="G36" s="31">
        <f t="shared" si="0"/>
        <v>322.94484490159556</v>
      </c>
    </row>
    <row r="37" spans="2:7" ht="15">
      <c r="B37" s="12" t="s">
        <v>23</v>
      </c>
      <c r="C37" s="13">
        <v>65609</v>
      </c>
      <c r="D37" s="13">
        <v>28252</v>
      </c>
      <c r="E37" s="13">
        <v>9026</v>
      </c>
      <c r="F37" s="14">
        <f t="shared" si="3"/>
        <v>43.061165388894814</v>
      </c>
      <c r="G37" s="15">
        <f t="shared" si="0"/>
        <v>313.00686904498116</v>
      </c>
    </row>
    <row r="38" spans="2:7" ht="15">
      <c r="B38" s="12" t="s">
        <v>24</v>
      </c>
      <c r="C38" s="13">
        <v>1283</v>
      </c>
      <c r="D38" s="13">
        <v>374</v>
      </c>
      <c r="E38" s="13">
        <v>270</v>
      </c>
      <c r="F38" s="14">
        <f t="shared" si="3"/>
        <v>29.150428682774745</v>
      </c>
      <c r="G38" s="15">
        <f t="shared" si="0"/>
        <v>138.5185185185185</v>
      </c>
    </row>
    <row r="39" spans="2:7" ht="15">
      <c r="B39" s="12" t="s">
        <v>25</v>
      </c>
      <c r="C39" s="13">
        <v>13868</v>
      </c>
      <c r="D39" s="13">
        <v>5716</v>
      </c>
      <c r="E39" s="13">
        <v>2150</v>
      </c>
      <c r="F39" s="14">
        <f t="shared" si="3"/>
        <v>41.21719065474473</v>
      </c>
      <c r="G39" s="15">
        <f t="shared" si="0"/>
        <v>265.86046511627904</v>
      </c>
    </row>
    <row r="40" spans="2:7" ht="15">
      <c r="B40" s="12" t="s">
        <v>26</v>
      </c>
      <c r="C40" s="13">
        <v>12318</v>
      </c>
      <c r="D40" s="13">
        <v>5532</v>
      </c>
      <c r="E40" s="13">
        <v>901</v>
      </c>
      <c r="F40" s="14">
        <f t="shared" si="3"/>
        <v>44.909887968826105</v>
      </c>
      <c r="G40" s="15">
        <f t="shared" si="0"/>
        <v>613.984461709212</v>
      </c>
    </row>
    <row r="41" spans="2:7" ht="15">
      <c r="B41" s="12" t="s">
        <v>29</v>
      </c>
      <c r="C41" s="13"/>
      <c r="D41" s="13"/>
      <c r="E41" s="13"/>
      <c r="F41" s="14"/>
      <c r="G41" s="15"/>
    </row>
    <row r="42" spans="2:7" ht="14.25">
      <c r="B42" s="10" t="s">
        <v>34</v>
      </c>
      <c r="C42" s="11">
        <f>SUM(C43:C49)</f>
        <v>1535837</v>
      </c>
      <c r="D42" s="11">
        <f>SUM(D43:D49)</f>
        <v>781593</v>
      </c>
      <c r="E42" s="11">
        <f>SUM(E43:E49)</f>
        <v>187641</v>
      </c>
      <c r="F42" s="24">
        <f t="shared" si="3"/>
        <v>50.890361412050886</v>
      </c>
      <c r="G42" s="31">
        <f t="shared" si="0"/>
        <v>416.5363646537803</v>
      </c>
    </row>
    <row r="43" spans="2:7" ht="15">
      <c r="B43" s="12" t="s">
        <v>23</v>
      </c>
      <c r="C43" s="13">
        <v>362657</v>
      </c>
      <c r="D43" s="13">
        <v>141799</v>
      </c>
      <c r="E43" s="13">
        <v>41643</v>
      </c>
      <c r="F43" s="14">
        <f t="shared" si="3"/>
        <v>39.10003115891875</v>
      </c>
      <c r="G43" s="15">
        <f t="shared" si="0"/>
        <v>340.51101025382417</v>
      </c>
    </row>
    <row r="44" spans="2:7" ht="15">
      <c r="B44" s="12" t="s">
        <v>24</v>
      </c>
      <c r="C44" s="13">
        <v>314337</v>
      </c>
      <c r="D44" s="13">
        <v>201805</v>
      </c>
      <c r="E44" s="13">
        <v>72550</v>
      </c>
      <c r="F44" s="14">
        <f t="shared" si="3"/>
        <v>64.20020551191874</v>
      </c>
      <c r="G44" s="15">
        <f t="shared" si="0"/>
        <v>278.15988973121983</v>
      </c>
    </row>
    <row r="45" spans="2:7" ht="15">
      <c r="B45" s="12" t="s">
        <v>25</v>
      </c>
      <c r="C45" s="13">
        <v>118518</v>
      </c>
      <c r="D45" s="13">
        <v>68162</v>
      </c>
      <c r="E45" s="13">
        <v>25861</v>
      </c>
      <c r="F45" s="14">
        <f t="shared" si="3"/>
        <v>57.51193911473362</v>
      </c>
      <c r="G45" s="15">
        <f t="shared" si="0"/>
        <v>263.5706275859402</v>
      </c>
    </row>
    <row r="46" spans="2:7" ht="15">
      <c r="B46" s="12" t="s">
        <v>26</v>
      </c>
      <c r="C46" s="13">
        <v>480480</v>
      </c>
      <c r="D46" s="13">
        <v>197238</v>
      </c>
      <c r="E46" s="13">
        <v>32026</v>
      </c>
      <c r="F46" s="14">
        <f t="shared" si="3"/>
        <v>41.0501998001998</v>
      </c>
      <c r="G46" s="15">
        <f t="shared" si="0"/>
        <v>615.86835695997</v>
      </c>
    </row>
    <row r="47" spans="2:7" ht="15">
      <c r="B47" s="12" t="s">
        <v>51</v>
      </c>
      <c r="C47" s="13">
        <v>29110</v>
      </c>
      <c r="D47" s="13">
        <v>29110</v>
      </c>
      <c r="E47" s="13">
        <v>13767</v>
      </c>
      <c r="F47" s="14">
        <f t="shared" si="3"/>
        <v>99.99999999999999</v>
      </c>
      <c r="G47" s="15">
        <f t="shared" si="0"/>
        <v>211.44766470545508</v>
      </c>
    </row>
    <row r="48" spans="2:7" ht="15">
      <c r="B48" s="12" t="s">
        <v>32</v>
      </c>
      <c r="C48" s="36">
        <v>25560</v>
      </c>
      <c r="D48" s="36">
        <v>7030</v>
      </c>
      <c r="E48" s="36"/>
      <c r="F48" s="56">
        <f t="shared" si="3"/>
        <v>27.503912363067293</v>
      </c>
      <c r="G48" s="57" t="e">
        <f t="shared" si="0"/>
        <v>#DIV/0!</v>
      </c>
    </row>
    <row r="49" spans="2:7" ht="15.75" thickBot="1">
      <c r="B49" s="27" t="s">
        <v>35</v>
      </c>
      <c r="C49" s="28">
        <v>205175</v>
      </c>
      <c r="D49" s="28">
        <v>136449</v>
      </c>
      <c r="E49" s="28">
        <v>1794</v>
      </c>
      <c r="F49" s="29">
        <f t="shared" si="3"/>
        <v>66.50371633971001</v>
      </c>
      <c r="G49" s="30">
        <f t="shared" si="0"/>
        <v>7605.852842809364</v>
      </c>
    </row>
    <row r="50" spans="2:7" ht="15.75" thickTop="1">
      <c r="B50" s="46"/>
      <c r="C50" s="47"/>
      <c r="D50" s="47"/>
      <c r="E50" s="47"/>
      <c r="F50" s="48"/>
      <c r="G50" s="48"/>
    </row>
    <row r="51" spans="2:7" ht="15">
      <c r="B51" s="46"/>
      <c r="C51" s="47"/>
      <c r="D51" s="47"/>
      <c r="E51" s="47"/>
      <c r="F51" s="48"/>
      <c r="G51" s="48"/>
    </row>
    <row r="52" spans="2:7" ht="15">
      <c r="B52" s="46"/>
      <c r="C52" s="47"/>
      <c r="D52" s="47"/>
      <c r="E52" s="47"/>
      <c r="F52" s="48"/>
      <c r="G52" s="48"/>
    </row>
    <row r="53" spans="2:7" ht="15">
      <c r="B53" s="46"/>
      <c r="C53" s="47"/>
      <c r="D53" s="47"/>
      <c r="E53" s="47"/>
      <c r="F53" s="48"/>
      <c r="G53" s="48"/>
    </row>
    <row r="54" spans="2:7" ht="15.75" thickBot="1">
      <c r="B54" s="46"/>
      <c r="C54" s="47"/>
      <c r="D54" s="47"/>
      <c r="E54" s="47"/>
      <c r="F54" s="48"/>
      <c r="G54" s="48"/>
    </row>
    <row r="55" spans="2:7" ht="13.5" thickTop="1">
      <c r="B55" s="3"/>
      <c r="C55" s="4" t="s">
        <v>1</v>
      </c>
      <c r="D55" s="4" t="s">
        <v>2</v>
      </c>
      <c r="E55" s="4" t="s">
        <v>2</v>
      </c>
      <c r="F55" s="158" t="s">
        <v>3</v>
      </c>
      <c r="G55" s="159"/>
    </row>
    <row r="56" spans="2:7" ht="12.75">
      <c r="B56" s="5"/>
      <c r="C56" s="6" t="s">
        <v>20</v>
      </c>
      <c r="D56" s="6" t="s">
        <v>21</v>
      </c>
      <c r="E56" s="6" t="s">
        <v>21</v>
      </c>
      <c r="F56" s="20"/>
      <c r="G56" s="21"/>
    </row>
    <row r="57" spans="2:7" ht="15.75">
      <c r="B57" s="18" t="s">
        <v>46</v>
      </c>
      <c r="C57" s="7" t="s">
        <v>127</v>
      </c>
      <c r="D57" s="7" t="s">
        <v>127</v>
      </c>
      <c r="E57" s="7" t="s">
        <v>131</v>
      </c>
      <c r="F57" s="7"/>
      <c r="G57" s="8"/>
    </row>
    <row r="58" spans="2:7" ht="12.75">
      <c r="B58" s="5"/>
      <c r="C58" s="6" t="s">
        <v>6</v>
      </c>
      <c r="D58" s="6" t="s">
        <v>6</v>
      </c>
      <c r="E58" s="6" t="s">
        <v>6</v>
      </c>
      <c r="F58" s="6" t="s">
        <v>4</v>
      </c>
      <c r="G58" s="9" t="s">
        <v>5</v>
      </c>
    </row>
    <row r="59" spans="2:7" ht="12.75">
      <c r="B59" s="17"/>
      <c r="C59" s="22">
        <v>1</v>
      </c>
      <c r="D59" s="22">
        <v>2</v>
      </c>
      <c r="E59" s="22">
        <v>3</v>
      </c>
      <c r="F59" s="22">
        <v>4</v>
      </c>
      <c r="G59" s="23">
        <v>5</v>
      </c>
    </row>
    <row r="60" spans="2:7" ht="12.75">
      <c r="B60" s="17" t="s">
        <v>116</v>
      </c>
      <c r="C60" s="11">
        <f>SUM(C61:C64)</f>
        <v>190151</v>
      </c>
      <c r="D60" s="11">
        <f>SUM(D61:D64)</f>
        <v>55771</v>
      </c>
      <c r="E60" s="11">
        <f>SUM(E61:E64)</f>
        <v>0</v>
      </c>
      <c r="F60" s="11">
        <f>SUM(F61:F64)</f>
        <v>268.4175961119722</v>
      </c>
      <c r="G60" s="64"/>
    </row>
    <row r="61" spans="2:7" ht="15">
      <c r="B61" s="12" t="s">
        <v>114</v>
      </c>
      <c r="C61" s="52">
        <v>8593</v>
      </c>
      <c r="D61" s="52">
        <v>8593</v>
      </c>
      <c r="E61" s="22"/>
      <c r="F61" s="14">
        <f>SUM(D61/C61%)</f>
        <v>99.99999999999999</v>
      </c>
      <c r="G61" s="64"/>
    </row>
    <row r="62" spans="2:7" ht="15">
      <c r="B62" s="12" t="s">
        <v>25</v>
      </c>
      <c r="C62" s="52">
        <v>909</v>
      </c>
      <c r="D62" s="52">
        <v>909</v>
      </c>
      <c r="E62" s="22"/>
      <c r="F62" s="14">
        <f>SUM(D62/C62%)</f>
        <v>100</v>
      </c>
      <c r="G62" s="64"/>
    </row>
    <row r="63" spans="2:7" ht="15">
      <c r="B63" s="12" t="s">
        <v>26</v>
      </c>
      <c r="C63" s="52">
        <v>45482</v>
      </c>
      <c r="D63" s="52">
        <v>23434</v>
      </c>
      <c r="E63" s="22"/>
      <c r="F63" s="14">
        <f>SUM(D63/C63%)</f>
        <v>51.52367969746273</v>
      </c>
      <c r="G63" s="64"/>
    </row>
    <row r="64" spans="2:7" ht="15">
      <c r="B64" s="12" t="s">
        <v>29</v>
      </c>
      <c r="C64" s="52">
        <f>23953+111214</f>
        <v>135167</v>
      </c>
      <c r="D64" s="59">
        <v>22835</v>
      </c>
      <c r="E64" s="22"/>
      <c r="F64" s="14">
        <f>SUM(D64/C64%)</f>
        <v>16.89391641450946</v>
      </c>
      <c r="G64" s="64"/>
    </row>
    <row r="65" spans="2:7" ht="12.75">
      <c r="B65" s="17" t="s">
        <v>54</v>
      </c>
      <c r="C65" s="11">
        <f>SUM(C66:C70)</f>
        <v>937444</v>
      </c>
      <c r="D65" s="11">
        <f>SUM(D66:D70)</f>
        <v>585202</v>
      </c>
      <c r="E65" s="11">
        <f>SUM(E66:E70)</f>
        <v>53704</v>
      </c>
      <c r="F65" s="24">
        <f aca="true" t="shared" si="4" ref="F65:F71">SUM(D65/C65%)</f>
        <v>62.425275536458706</v>
      </c>
      <c r="G65" s="31">
        <f t="shared" si="0"/>
        <v>1089.6804707284375</v>
      </c>
    </row>
    <row r="66" spans="2:7" ht="15">
      <c r="B66" s="12" t="s">
        <v>23</v>
      </c>
      <c r="C66" s="13">
        <v>64253</v>
      </c>
      <c r="D66" s="13">
        <v>35452</v>
      </c>
      <c r="E66" s="13">
        <v>13603</v>
      </c>
      <c r="F66" s="14">
        <f t="shared" si="4"/>
        <v>55.17563382254525</v>
      </c>
      <c r="G66" s="15">
        <f t="shared" si="0"/>
        <v>260.6189811071087</v>
      </c>
    </row>
    <row r="67" spans="2:7" ht="15">
      <c r="B67" s="12" t="s">
        <v>24</v>
      </c>
      <c r="C67" s="13">
        <v>3384</v>
      </c>
      <c r="D67" s="13">
        <v>2215</v>
      </c>
      <c r="E67" s="13">
        <v>524</v>
      </c>
      <c r="F67" s="14">
        <f t="shared" si="4"/>
        <v>65.45508274231678</v>
      </c>
      <c r="G67" s="15">
        <f t="shared" si="0"/>
        <v>422.70992366412213</v>
      </c>
    </row>
    <row r="68" spans="2:7" ht="15">
      <c r="B68" s="12" t="s">
        <v>25</v>
      </c>
      <c r="C68" s="13">
        <v>13594</v>
      </c>
      <c r="D68" s="13">
        <v>7528</v>
      </c>
      <c r="E68" s="13">
        <v>3319</v>
      </c>
      <c r="F68" s="14">
        <f t="shared" si="4"/>
        <v>55.37737237016331</v>
      </c>
      <c r="G68" s="15">
        <f t="shared" si="0"/>
        <v>226.81530581500454</v>
      </c>
    </row>
    <row r="69" spans="2:7" ht="15">
      <c r="B69" s="12" t="s">
        <v>26</v>
      </c>
      <c r="C69" s="13">
        <v>407147</v>
      </c>
      <c r="D69" s="13">
        <v>171333</v>
      </c>
      <c r="E69" s="13">
        <v>31862</v>
      </c>
      <c r="F69" s="14">
        <f t="shared" si="4"/>
        <v>42.08136127737648</v>
      </c>
      <c r="G69" s="15">
        <f t="shared" si="0"/>
        <v>537.734605486159</v>
      </c>
    </row>
    <row r="70" spans="2:7" ht="15">
      <c r="B70" s="35" t="s">
        <v>35</v>
      </c>
      <c r="C70" s="36">
        <v>449066</v>
      </c>
      <c r="D70" s="36">
        <v>368674</v>
      </c>
      <c r="E70" s="36">
        <v>4396</v>
      </c>
      <c r="F70" s="14">
        <f t="shared" si="4"/>
        <v>82.09795442095371</v>
      </c>
      <c r="G70" s="15">
        <f t="shared" si="0"/>
        <v>8386.578707916287</v>
      </c>
    </row>
    <row r="71" spans="2:7" ht="12.75">
      <c r="B71" s="17" t="s">
        <v>36</v>
      </c>
      <c r="C71" s="11">
        <f>SUM(C72:C78)</f>
        <v>274982</v>
      </c>
      <c r="D71" s="11">
        <f>SUM(D72:D78)</f>
        <v>109744</v>
      </c>
      <c r="E71" s="11">
        <f>SUM(E72:E78)</f>
        <v>38505</v>
      </c>
      <c r="F71" s="24">
        <f t="shared" si="4"/>
        <v>39.90952135048839</v>
      </c>
      <c r="G71" s="31">
        <f aca="true" t="shared" si="5" ref="G71:G78">SUM(D71/E71%)</f>
        <v>285.0123360602519</v>
      </c>
    </row>
    <row r="72" spans="2:7" ht="15">
      <c r="B72" s="12" t="s">
        <v>23</v>
      </c>
      <c r="C72" s="13">
        <v>25523</v>
      </c>
      <c r="D72" s="13">
        <v>11215</v>
      </c>
      <c r="E72" s="13">
        <v>4585</v>
      </c>
      <c r="F72" s="14">
        <f aca="true" t="shared" si="6" ref="F72:F78">SUM(D72/C72%)</f>
        <v>43.940759315127536</v>
      </c>
      <c r="G72" s="15">
        <f t="shared" si="5"/>
        <v>244.6019629225736</v>
      </c>
    </row>
    <row r="73" spans="2:8" ht="15">
      <c r="B73" s="12" t="s">
        <v>24</v>
      </c>
      <c r="C73" s="13">
        <v>1500</v>
      </c>
      <c r="D73" s="13">
        <v>1099</v>
      </c>
      <c r="E73" s="13">
        <v>380</v>
      </c>
      <c r="F73" s="14">
        <f t="shared" si="6"/>
        <v>73.26666666666667</v>
      </c>
      <c r="G73" s="15">
        <f t="shared" si="5"/>
        <v>289.2105263157895</v>
      </c>
      <c r="H73" t="s">
        <v>50</v>
      </c>
    </row>
    <row r="74" spans="2:7" ht="15">
      <c r="B74" s="12" t="s">
        <v>25</v>
      </c>
      <c r="C74" s="13">
        <v>5157</v>
      </c>
      <c r="D74" s="13">
        <v>2376</v>
      </c>
      <c r="E74" s="13">
        <v>1160</v>
      </c>
      <c r="F74" s="14">
        <f t="shared" si="6"/>
        <v>46.07329842931937</v>
      </c>
      <c r="G74" s="15">
        <f t="shared" si="5"/>
        <v>204.82758620689657</v>
      </c>
    </row>
    <row r="75" spans="2:7" ht="15">
      <c r="B75" s="12" t="s">
        <v>26</v>
      </c>
      <c r="C75" s="13">
        <v>51541</v>
      </c>
      <c r="D75" s="13">
        <v>9444</v>
      </c>
      <c r="E75" s="13">
        <v>6469</v>
      </c>
      <c r="F75" s="14">
        <f t="shared" si="6"/>
        <v>18.323276614733903</v>
      </c>
      <c r="G75" s="15">
        <f t="shared" si="5"/>
        <v>145.98856082856702</v>
      </c>
    </row>
    <row r="76" spans="2:7" ht="17.25" customHeight="1">
      <c r="B76" s="12" t="s">
        <v>52</v>
      </c>
      <c r="C76" s="13">
        <v>500</v>
      </c>
      <c r="D76" s="13"/>
      <c r="E76" s="13"/>
      <c r="F76" s="14">
        <f t="shared" si="6"/>
        <v>0</v>
      </c>
      <c r="G76" s="15" t="e">
        <f t="shared" si="5"/>
        <v>#DIV/0!</v>
      </c>
    </row>
    <row r="77" spans="2:7" ht="15">
      <c r="B77" s="12" t="s">
        <v>37</v>
      </c>
      <c r="C77" s="13">
        <v>155837</v>
      </c>
      <c r="D77" s="13">
        <v>70910</v>
      </c>
      <c r="E77" s="13">
        <v>25911</v>
      </c>
      <c r="F77" s="14">
        <f t="shared" si="6"/>
        <v>45.50267266438651</v>
      </c>
      <c r="G77" s="15">
        <f t="shared" si="5"/>
        <v>273.66755432055885</v>
      </c>
    </row>
    <row r="78" spans="2:7" ht="15">
      <c r="B78" s="12" t="s">
        <v>35</v>
      </c>
      <c r="C78" s="13">
        <v>34924</v>
      </c>
      <c r="D78" s="13">
        <v>14700</v>
      </c>
      <c r="E78" s="13"/>
      <c r="F78" s="14">
        <f t="shared" si="6"/>
        <v>42.091398465238804</v>
      </c>
      <c r="G78" s="15" t="e">
        <f t="shared" si="5"/>
        <v>#DIV/0!</v>
      </c>
    </row>
    <row r="79" spans="2:7" ht="14.25">
      <c r="B79" s="16" t="s">
        <v>38</v>
      </c>
      <c r="C79" s="11">
        <f>SUM(C80:C85)</f>
        <v>1405218</v>
      </c>
      <c r="D79" s="11">
        <f>SUM(D80:D85)</f>
        <v>610636</v>
      </c>
      <c r="E79" s="11">
        <f>SUM(E80:E85)</f>
        <v>310465</v>
      </c>
      <c r="F79" s="24">
        <f>SUM(D79/C79%)</f>
        <v>43.45489454305311</v>
      </c>
      <c r="G79" s="31">
        <f aca="true" t="shared" si="7" ref="G79:G84">SUM(D79/E79%)</f>
        <v>196.6843283461904</v>
      </c>
    </row>
    <row r="80" spans="2:7" ht="15">
      <c r="B80" s="12" t="s">
        <v>23</v>
      </c>
      <c r="C80" s="13">
        <v>201973</v>
      </c>
      <c r="D80" s="13">
        <v>100203</v>
      </c>
      <c r="E80" s="13">
        <v>41830</v>
      </c>
      <c r="F80" s="14">
        <f aca="true" t="shared" si="8" ref="F80:F85">SUM(D80/C80%)</f>
        <v>49.61207686175875</v>
      </c>
      <c r="G80" s="15">
        <f t="shared" si="7"/>
        <v>239.54817116901745</v>
      </c>
    </row>
    <row r="81" spans="2:7" ht="15">
      <c r="B81" s="12" t="s">
        <v>24</v>
      </c>
      <c r="C81" s="13">
        <v>3370</v>
      </c>
      <c r="D81" s="13">
        <v>3369</v>
      </c>
      <c r="E81" s="13">
        <v>3071</v>
      </c>
      <c r="F81" s="14">
        <f t="shared" si="8"/>
        <v>99.97032640949554</v>
      </c>
      <c r="G81" s="15">
        <f t="shared" si="7"/>
        <v>109.70367958319765</v>
      </c>
    </row>
    <row r="82" spans="2:7" ht="15">
      <c r="B82" s="12" t="s">
        <v>25</v>
      </c>
      <c r="C82" s="13">
        <v>41518</v>
      </c>
      <c r="D82" s="13">
        <v>20793</v>
      </c>
      <c r="E82" s="13">
        <v>10375</v>
      </c>
      <c r="F82" s="14">
        <f t="shared" si="8"/>
        <v>50.081892191338696</v>
      </c>
      <c r="G82" s="15">
        <f t="shared" si="7"/>
        <v>200.4144578313253</v>
      </c>
    </row>
    <row r="83" spans="2:7" ht="15">
      <c r="B83" s="12" t="s">
        <v>26</v>
      </c>
      <c r="C83" s="13">
        <v>675239</v>
      </c>
      <c r="D83" s="13">
        <v>359301</v>
      </c>
      <c r="E83" s="13">
        <v>175170</v>
      </c>
      <c r="F83" s="14">
        <f t="shared" si="8"/>
        <v>53.21093716447065</v>
      </c>
      <c r="G83" s="15">
        <f t="shared" si="7"/>
        <v>205.11560198664154</v>
      </c>
    </row>
    <row r="84" spans="2:7" ht="15">
      <c r="B84" s="12" t="s">
        <v>37</v>
      </c>
      <c r="C84" s="13">
        <v>27691</v>
      </c>
      <c r="D84" s="13">
        <v>20266</v>
      </c>
      <c r="E84" s="13">
        <v>6920</v>
      </c>
      <c r="F84" s="14">
        <f t="shared" si="8"/>
        <v>73.18623379437362</v>
      </c>
      <c r="G84" s="15">
        <f t="shared" si="7"/>
        <v>292.8612716763006</v>
      </c>
    </row>
    <row r="85" spans="2:7" ht="15">
      <c r="B85" s="12" t="s">
        <v>35</v>
      </c>
      <c r="C85" s="13">
        <v>455427</v>
      </c>
      <c r="D85" s="13">
        <v>106704</v>
      </c>
      <c r="E85" s="13">
        <v>73099</v>
      </c>
      <c r="F85" s="14">
        <f t="shared" si="8"/>
        <v>23.429440942236624</v>
      </c>
      <c r="G85" s="32">
        <f aca="true" t="shared" si="9" ref="G85:G90">SUM(D85/E85%)</f>
        <v>145.97190112039837</v>
      </c>
    </row>
    <row r="86" spans="2:7" ht="15" customHeight="1">
      <c r="B86" s="10" t="s">
        <v>115</v>
      </c>
      <c r="C86" s="11">
        <f>SUM(C87:C90)</f>
        <v>9208</v>
      </c>
      <c r="D86" s="11">
        <f>SUM(D87:D90)</f>
        <v>9196</v>
      </c>
      <c r="E86" s="11">
        <f>SUM(E87:E90)</f>
        <v>2861</v>
      </c>
      <c r="F86" s="24">
        <f aca="true" t="shared" si="10" ref="F86:F92">SUM(D86/C86%)</f>
        <v>99.86967854039966</v>
      </c>
      <c r="G86" s="15">
        <f t="shared" si="9"/>
        <v>321.4260747990213</v>
      </c>
    </row>
    <row r="87" spans="2:7" ht="15">
      <c r="B87" s="12" t="s">
        <v>114</v>
      </c>
      <c r="C87" s="13">
        <v>667</v>
      </c>
      <c r="D87" s="13">
        <v>667</v>
      </c>
      <c r="E87" s="13">
        <v>2549</v>
      </c>
      <c r="F87" s="14">
        <f t="shared" si="10"/>
        <v>100</v>
      </c>
      <c r="G87" s="15">
        <f t="shared" si="9"/>
        <v>26.167124362495098</v>
      </c>
    </row>
    <row r="88" spans="1:7" ht="15">
      <c r="A88" t="s">
        <v>50</v>
      </c>
      <c r="B88" s="12" t="s">
        <v>25</v>
      </c>
      <c r="C88" s="13">
        <v>661</v>
      </c>
      <c r="D88" s="13">
        <v>661</v>
      </c>
      <c r="E88" s="13">
        <v>312</v>
      </c>
      <c r="F88" s="14">
        <f t="shared" si="10"/>
        <v>100</v>
      </c>
      <c r="G88" s="15">
        <f t="shared" si="9"/>
        <v>211.85897435897436</v>
      </c>
    </row>
    <row r="89" spans="2:7" ht="15">
      <c r="B89" s="12" t="s">
        <v>26</v>
      </c>
      <c r="C89" s="13">
        <v>4496</v>
      </c>
      <c r="D89" s="13">
        <v>4484</v>
      </c>
      <c r="E89" s="13"/>
      <c r="F89" s="14">
        <f t="shared" si="10"/>
        <v>99.73309608540924</v>
      </c>
      <c r="G89" s="15" t="e">
        <f t="shared" si="9"/>
        <v>#DIV/0!</v>
      </c>
    </row>
    <row r="90" spans="2:7" ht="15">
      <c r="B90" s="12" t="s">
        <v>29</v>
      </c>
      <c r="C90" s="13">
        <v>3384</v>
      </c>
      <c r="D90" s="13">
        <v>3384</v>
      </c>
      <c r="E90" s="13"/>
      <c r="F90" s="14">
        <f t="shared" si="10"/>
        <v>99.99999999999999</v>
      </c>
      <c r="G90" s="15" t="e">
        <f t="shared" si="9"/>
        <v>#DIV/0!</v>
      </c>
    </row>
    <row r="91" spans="2:7" ht="14.25">
      <c r="B91" s="10" t="s">
        <v>45</v>
      </c>
      <c r="C91" s="11">
        <f>SUM(C92:C93)</f>
        <v>7300</v>
      </c>
      <c r="D91" s="11">
        <f>SUM(D92:D92)</f>
        <v>2489</v>
      </c>
      <c r="E91" s="11">
        <f>SUM(E92:E92)</f>
        <v>828</v>
      </c>
      <c r="F91" s="24">
        <f t="shared" si="10"/>
        <v>34.0958904109589</v>
      </c>
      <c r="G91" s="31">
        <f>SUM(D91/E91%)</f>
        <v>300.6038647342995</v>
      </c>
    </row>
    <row r="92" spans="2:7" ht="15">
      <c r="B92" s="12" t="s">
        <v>39</v>
      </c>
      <c r="C92" s="13">
        <v>7300</v>
      </c>
      <c r="D92" s="13">
        <v>2489</v>
      </c>
      <c r="E92" s="19">
        <v>828</v>
      </c>
      <c r="F92" s="24">
        <f t="shared" si="10"/>
        <v>34.0958904109589</v>
      </c>
      <c r="G92" s="15">
        <f>SUM(D92/E92%)</f>
        <v>300.6038647342995</v>
      </c>
    </row>
    <row r="93" spans="2:7" ht="15">
      <c r="B93" s="12" t="s">
        <v>26</v>
      </c>
      <c r="C93" s="36"/>
      <c r="D93" s="36"/>
      <c r="E93" s="58"/>
      <c r="F93" s="56"/>
      <c r="G93" s="57"/>
    </row>
    <row r="94" spans="2:7" ht="15" thickBot="1">
      <c r="B94" s="61" t="s">
        <v>40</v>
      </c>
      <c r="C94" s="26">
        <v>240789</v>
      </c>
      <c r="D94" s="26"/>
      <c r="E94" s="26"/>
      <c r="F94" s="26"/>
      <c r="G94" s="62"/>
    </row>
    <row r="95" spans="2:7" ht="15" thickTop="1">
      <c r="B95" s="44"/>
      <c r="C95" s="45"/>
      <c r="D95" s="45"/>
      <c r="E95" s="45"/>
      <c r="F95" s="45"/>
      <c r="G95" s="45"/>
    </row>
    <row r="96" spans="2:7" ht="14.25">
      <c r="B96" s="44"/>
      <c r="C96" s="45"/>
      <c r="D96" s="45"/>
      <c r="E96" s="45"/>
      <c r="F96" s="45"/>
      <c r="G96" s="45"/>
    </row>
    <row r="97" spans="2:7" ht="14.25">
      <c r="B97" s="44"/>
      <c r="C97" s="45"/>
      <c r="D97" s="45"/>
      <c r="E97" s="45"/>
      <c r="F97" s="45"/>
      <c r="G97" s="45"/>
    </row>
    <row r="98" spans="2:7" ht="14.25">
      <c r="B98" s="44"/>
      <c r="C98" s="45"/>
      <c r="D98" s="45"/>
      <c r="E98" s="45"/>
      <c r="F98" s="45"/>
      <c r="G98" s="45"/>
    </row>
    <row r="99" spans="2:7" ht="14.25">
      <c r="B99" s="44"/>
      <c r="C99" s="45"/>
      <c r="D99" s="45"/>
      <c r="E99" s="45"/>
      <c r="F99" s="45"/>
      <c r="G99" s="45"/>
    </row>
    <row r="100" spans="2:7" ht="15" thickBot="1">
      <c r="B100" s="44"/>
      <c r="C100" s="45"/>
      <c r="D100" s="45"/>
      <c r="E100" s="45"/>
      <c r="F100" s="45"/>
      <c r="G100" s="45"/>
    </row>
    <row r="101" spans="2:7" ht="13.5" thickTop="1">
      <c r="B101" s="3"/>
      <c r="C101" s="4" t="s">
        <v>1</v>
      </c>
      <c r="D101" s="4" t="s">
        <v>2</v>
      </c>
      <c r="E101" s="4" t="s">
        <v>2</v>
      </c>
      <c r="F101" s="158" t="s">
        <v>3</v>
      </c>
      <c r="G101" s="159"/>
    </row>
    <row r="102" spans="2:7" ht="12.75">
      <c r="B102" s="5"/>
      <c r="C102" s="6" t="s">
        <v>20</v>
      </c>
      <c r="D102" s="6" t="s">
        <v>21</v>
      </c>
      <c r="E102" s="6" t="s">
        <v>21</v>
      </c>
      <c r="F102" s="20"/>
      <c r="G102" s="21"/>
    </row>
    <row r="103" spans="2:7" ht="15.75">
      <c r="B103" s="18" t="s">
        <v>46</v>
      </c>
      <c r="C103" s="7" t="s">
        <v>130</v>
      </c>
      <c r="D103" s="7" t="s">
        <v>130</v>
      </c>
      <c r="E103" s="7" t="s">
        <v>131</v>
      </c>
      <c r="F103" s="7"/>
      <c r="G103" s="8"/>
    </row>
    <row r="104" spans="2:7" ht="12.75">
      <c r="B104" s="5"/>
      <c r="C104" s="6" t="s">
        <v>6</v>
      </c>
      <c r="D104" s="6" t="s">
        <v>6</v>
      </c>
      <c r="E104" s="6" t="s">
        <v>6</v>
      </c>
      <c r="F104" s="6" t="s">
        <v>4</v>
      </c>
      <c r="G104" s="9" t="s">
        <v>5</v>
      </c>
    </row>
    <row r="105" spans="2:7" ht="12.75">
      <c r="B105" s="17"/>
      <c r="C105" s="22">
        <v>1</v>
      </c>
      <c r="D105" s="22">
        <v>2</v>
      </c>
      <c r="E105" s="22">
        <v>3</v>
      </c>
      <c r="F105" s="22">
        <v>4</v>
      </c>
      <c r="G105" s="23">
        <v>5</v>
      </c>
    </row>
    <row r="106" spans="2:7" ht="14.25">
      <c r="B106" s="40" t="s">
        <v>41</v>
      </c>
      <c r="C106" s="41">
        <f>SUM(C107:C119)</f>
        <v>9985107</v>
      </c>
      <c r="D106" s="41">
        <f>SUM(D107:D119)</f>
        <v>4383359</v>
      </c>
      <c r="E106" s="41">
        <f>SUM(E107:E119)</f>
        <v>1237821</v>
      </c>
      <c r="F106" s="42">
        <f aca="true" t="shared" si="11" ref="F106:F119">SUM(D106/C106%)</f>
        <v>43.89896873413574</v>
      </c>
      <c r="G106" s="43">
        <f aca="true" t="shared" si="12" ref="G106:G118">SUM(D106/E106%)</f>
        <v>354.11897196767546</v>
      </c>
    </row>
    <row r="107" spans="2:7" ht="15">
      <c r="B107" s="12" t="s">
        <v>23</v>
      </c>
      <c r="C107" s="13">
        <f>C12+C30+C37+C43+C66+C72+C80</f>
        <v>3049838</v>
      </c>
      <c r="D107" s="13">
        <f>D12+D30+D37+D43+D66+D72+D80</f>
        <v>1416918</v>
      </c>
      <c r="E107" s="13">
        <f>E12+E30+E37+E43+E66+E72+E80</f>
        <v>443178</v>
      </c>
      <c r="F107" s="14">
        <f t="shared" si="11"/>
        <v>46.45879551635201</v>
      </c>
      <c r="G107" s="15">
        <f t="shared" si="12"/>
        <v>319.7175852591961</v>
      </c>
    </row>
    <row r="108" spans="2:7" ht="15">
      <c r="B108" s="12" t="s">
        <v>24</v>
      </c>
      <c r="C108" s="13">
        <f>C13+C25+C31+C38+C44+C67+C73+C81</f>
        <v>501764</v>
      </c>
      <c r="D108" s="13">
        <f>D13+D25+D31+D38+D44+D67+D73+D81</f>
        <v>264241</v>
      </c>
      <c r="E108" s="13">
        <f>E13+E25+E31+E44+E67+E73+E81+E38</f>
        <v>82856</v>
      </c>
      <c r="F108" s="14">
        <f t="shared" si="11"/>
        <v>52.66240702800519</v>
      </c>
      <c r="G108" s="15">
        <f t="shared" si="12"/>
        <v>318.9159505648354</v>
      </c>
    </row>
    <row r="109" spans="2:7" ht="15">
      <c r="B109" s="12" t="s">
        <v>42</v>
      </c>
      <c r="C109" s="13">
        <f>C14+C26+C32+C39+C45+C68+C74+C82</f>
        <v>754072</v>
      </c>
      <c r="D109" s="13">
        <f>D14+D26+D32+D39+D45+D68+D74+D82</f>
        <v>367818</v>
      </c>
      <c r="E109" s="13">
        <f>E14+E26+E32+E39+E45+E68+E74+E82</f>
        <v>132493</v>
      </c>
      <c r="F109" s="14">
        <f t="shared" si="11"/>
        <v>48.777570311588285</v>
      </c>
      <c r="G109" s="15">
        <f t="shared" si="12"/>
        <v>277.6131569214977</v>
      </c>
    </row>
    <row r="110" spans="2:7" ht="15">
      <c r="B110" s="12" t="s">
        <v>26</v>
      </c>
      <c r="C110" s="13">
        <f>C15+C27+C33+C40+C46+C69+C75+C83+C93</f>
        <v>2986457</v>
      </c>
      <c r="D110" s="13">
        <f>D15+D27+D33+D40+D46+D69+D75+D83+D93</f>
        <v>1503250</v>
      </c>
      <c r="E110" s="13">
        <f>E15+E27+E33+E40+E46+E69+E75+E83+E89</f>
        <v>416916</v>
      </c>
      <c r="F110" s="14">
        <f t="shared" si="11"/>
        <v>50.33556485159505</v>
      </c>
      <c r="G110" s="15">
        <f t="shared" si="12"/>
        <v>360.5642383597655</v>
      </c>
    </row>
    <row r="111" spans="2:7" ht="15">
      <c r="B111" s="12" t="s">
        <v>32</v>
      </c>
      <c r="C111" s="13">
        <f>C34+C48</f>
        <v>44884</v>
      </c>
      <c r="D111" s="13">
        <f>D34+D48</f>
        <v>17614</v>
      </c>
      <c r="E111" s="13">
        <f>E34+E48</f>
        <v>4779</v>
      </c>
      <c r="F111" s="14">
        <f t="shared" si="11"/>
        <v>39.24338294269673</v>
      </c>
      <c r="G111" s="15">
        <f t="shared" si="12"/>
        <v>368.57083071772337</v>
      </c>
    </row>
    <row r="112" spans="2:7" ht="15.75" customHeight="1">
      <c r="B112" s="12" t="s">
        <v>51</v>
      </c>
      <c r="C112" s="13">
        <f>C47</f>
        <v>29110</v>
      </c>
      <c r="D112" s="13">
        <f>D47+D17+D76</f>
        <v>32610</v>
      </c>
      <c r="E112" s="13">
        <f>E47</f>
        <v>13767</v>
      </c>
      <c r="F112" s="14">
        <f t="shared" si="11"/>
        <v>112.02335967021641</v>
      </c>
      <c r="G112" s="15">
        <f t="shared" si="12"/>
        <v>236.87077794726522</v>
      </c>
    </row>
    <row r="113" spans="2:7" ht="15.75" customHeight="1">
      <c r="B113" s="12" t="s">
        <v>66</v>
      </c>
      <c r="C113" s="13">
        <f>C17+C76</f>
        <v>6500</v>
      </c>
      <c r="D113" s="13">
        <f>D17+D76</f>
        <v>3500</v>
      </c>
      <c r="E113" s="13">
        <f>E17+E76</f>
        <v>0</v>
      </c>
      <c r="F113" s="14">
        <f t="shared" si="11"/>
        <v>53.84615384615385</v>
      </c>
      <c r="G113" s="15" t="e">
        <f t="shared" si="12"/>
        <v>#DIV/0!</v>
      </c>
    </row>
    <row r="114" spans="2:7" ht="15.75" customHeight="1">
      <c r="B114" s="12" t="s">
        <v>126</v>
      </c>
      <c r="C114" s="13">
        <f>C84</f>
        <v>27691</v>
      </c>
      <c r="D114" s="13">
        <f>D84</f>
        <v>20266</v>
      </c>
      <c r="E114" s="13">
        <f>E84</f>
        <v>6920</v>
      </c>
      <c r="F114" s="14">
        <f>SUM(D114/C114%)</f>
        <v>73.18623379437362</v>
      </c>
      <c r="G114" s="15">
        <f t="shared" si="12"/>
        <v>292.8612716763006</v>
      </c>
    </row>
    <row r="115" spans="2:7" ht="15">
      <c r="B115" s="10" t="s">
        <v>43</v>
      </c>
      <c r="C115" s="13">
        <f>C77</f>
        <v>155837</v>
      </c>
      <c r="D115" s="13">
        <f>D77</f>
        <v>70910</v>
      </c>
      <c r="E115" s="13">
        <f>E77</f>
        <v>25911</v>
      </c>
      <c r="F115" s="14">
        <f t="shared" si="11"/>
        <v>45.50267266438651</v>
      </c>
      <c r="G115" s="15">
        <f t="shared" si="12"/>
        <v>273.66755432055885</v>
      </c>
    </row>
    <row r="116" spans="2:7" ht="15">
      <c r="B116" s="12" t="s">
        <v>27</v>
      </c>
      <c r="C116" s="13">
        <f>C16</f>
        <v>4000</v>
      </c>
      <c r="D116" s="13">
        <f>D16</f>
        <v>981</v>
      </c>
      <c r="E116" s="13">
        <f>E16</f>
        <v>0</v>
      </c>
      <c r="F116" s="14">
        <f t="shared" si="11"/>
        <v>24.525</v>
      </c>
      <c r="G116" s="15" t="e">
        <f t="shared" si="12"/>
        <v>#DIV/0!</v>
      </c>
    </row>
    <row r="117" spans="2:7" ht="15">
      <c r="B117" s="12" t="s">
        <v>39</v>
      </c>
      <c r="C117" s="13">
        <f>C92</f>
        <v>7300</v>
      </c>
      <c r="D117" s="13">
        <f>D92</f>
        <v>2489</v>
      </c>
      <c r="E117" s="13">
        <f>E92</f>
        <v>828</v>
      </c>
      <c r="F117" s="14">
        <f t="shared" si="11"/>
        <v>34.0958904109589</v>
      </c>
      <c r="G117" s="15">
        <f t="shared" si="12"/>
        <v>300.6038647342995</v>
      </c>
    </row>
    <row r="118" spans="2:7" ht="15">
      <c r="B118" s="12" t="s">
        <v>29</v>
      </c>
      <c r="C118" s="13">
        <f>C18+C35+C41+C70+C78+C85+C28+C49</f>
        <v>2176865</v>
      </c>
      <c r="D118" s="13">
        <f>D18+D35+D41+D70+D78+D85+D28+D49</f>
        <v>682762</v>
      </c>
      <c r="E118" s="13">
        <f>E18+E35+E41+E70+E78+E85+E28+E49</f>
        <v>110173</v>
      </c>
      <c r="F118" s="14">
        <f t="shared" si="11"/>
        <v>31.364462196782988</v>
      </c>
      <c r="G118" s="15">
        <f t="shared" si="12"/>
        <v>619.7180797473065</v>
      </c>
    </row>
    <row r="119" spans="2:7" ht="15.75" thickBot="1">
      <c r="B119" s="27" t="s">
        <v>44</v>
      </c>
      <c r="C119" s="28">
        <f>C94</f>
        <v>240789</v>
      </c>
      <c r="D119" s="28"/>
      <c r="E119" s="28"/>
      <c r="F119" s="29">
        <f t="shared" si="11"/>
        <v>0</v>
      </c>
      <c r="G119" s="30"/>
    </row>
    <row r="120" spans="2:7" ht="15.75" thickTop="1">
      <c r="B120" s="46"/>
      <c r="C120" s="47"/>
      <c r="D120" s="47"/>
      <c r="E120" s="47"/>
      <c r="F120" s="48"/>
      <c r="G120" s="48"/>
    </row>
    <row r="121" spans="2:7" ht="15">
      <c r="B121" s="46"/>
      <c r="C121" s="47"/>
      <c r="D121" s="47"/>
      <c r="E121" s="47"/>
      <c r="F121" s="48"/>
      <c r="G121" s="48"/>
    </row>
    <row r="122" spans="2:7" ht="15">
      <c r="B122" s="46"/>
      <c r="C122" s="47"/>
      <c r="D122" s="47"/>
      <c r="E122" s="47"/>
      <c r="F122" s="48"/>
      <c r="G122" s="48"/>
    </row>
    <row r="123" spans="2:7" ht="15">
      <c r="B123" s="46"/>
      <c r="C123" s="47"/>
      <c r="D123" s="47"/>
      <c r="E123" s="47"/>
      <c r="F123" s="48"/>
      <c r="G123" s="48"/>
    </row>
    <row r="124" spans="2:7" ht="15">
      <c r="B124" s="46"/>
      <c r="C124" s="47"/>
      <c r="D124" s="47"/>
      <c r="E124" s="47"/>
      <c r="F124" s="48"/>
      <c r="G124" s="48"/>
    </row>
    <row r="125" spans="2:7" ht="15">
      <c r="B125" s="46"/>
      <c r="C125" s="47"/>
      <c r="D125" s="47"/>
      <c r="E125" s="47"/>
      <c r="F125" s="48"/>
      <c r="G125" s="48"/>
    </row>
    <row r="126" spans="2:7" ht="15">
      <c r="B126" s="46"/>
      <c r="C126" s="47"/>
      <c r="D126" s="47"/>
      <c r="E126" s="47"/>
      <c r="F126" s="48"/>
      <c r="G126" s="48"/>
    </row>
    <row r="127" spans="2:7" ht="15">
      <c r="B127" s="46"/>
      <c r="C127" s="47"/>
      <c r="D127" s="47"/>
      <c r="E127" s="47"/>
      <c r="F127" s="48"/>
      <c r="G127" s="48"/>
    </row>
    <row r="128" spans="2:7" ht="15">
      <c r="B128" s="46"/>
      <c r="C128" s="47"/>
      <c r="D128" s="47"/>
      <c r="E128" s="47"/>
      <c r="F128" s="48"/>
      <c r="G128" s="48"/>
    </row>
    <row r="129" spans="2:7" ht="15">
      <c r="B129" s="46"/>
      <c r="C129" s="47"/>
      <c r="D129" s="47"/>
      <c r="E129" s="47"/>
      <c r="F129" s="48"/>
      <c r="G129" s="48"/>
    </row>
    <row r="130" spans="2:7" ht="15">
      <c r="B130" s="46"/>
      <c r="C130" s="47"/>
      <c r="D130" s="47"/>
      <c r="E130" s="47"/>
      <c r="F130" s="48"/>
      <c r="G130" s="48"/>
    </row>
    <row r="131" spans="2:7" ht="15">
      <c r="B131" s="46"/>
      <c r="C131" s="47"/>
      <c r="D131" s="47"/>
      <c r="E131" s="47"/>
      <c r="F131" s="48"/>
      <c r="G131" s="48"/>
    </row>
    <row r="132" spans="2:7" ht="15">
      <c r="B132" s="46"/>
      <c r="C132" s="47"/>
      <c r="D132" s="47"/>
      <c r="E132" s="47"/>
      <c r="F132" s="48"/>
      <c r="G132" s="48"/>
    </row>
    <row r="133" spans="2:7" ht="15">
      <c r="B133" s="46"/>
      <c r="C133" s="47"/>
      <c r="D133" s="47"/>
      <c r="E133" s="47"/>
      <c r="F133" s="48"/>
      <c r="G133" s="48"/>
    </row>
    <row r="134" spans="2:7" ht="15">
      <c r="B134" s="46"/>
      <c r="C134" s="47"/>
      <c r="D134" s="47"/>
      <c r="E134" s="47"/>
      <c r="F134" s="48"/>
      <c r="G134" s="48"/>
    </row>
    <row r="135" spans="2:7" ht="15">
      <c r="B135" s="46"/>
      <c r="C135" s="47"/>
      <c r="D135" s="47"/>
      <c r="E135" s="47"/>
      <c r="F135" s="48"/>
      <c r="G135" s="48"/>
    </row>
    <row r="136" spans="2:7" ht="15">
      <c r="B136" s="46"/>
      <c r="C136" s="47"/>
      <c r="D136" s="47"/>
      <c r="E136" s="47"/>
      <c r="F136" s="48"/>
      <c r="G136" s="48"/>
    </row>
    <row r="137" spans="2:7" ht="15">
      <c r="B137" s="46"/>
      <c r="C137" s="47"/>
      <c r="D137" s="47"/>
      <c r="E137" s="47"/>
      <c r="F137" s="48"/>
      <c r="G137" s="48"/>
    </row>
    <row r="138" spans="2:7" ht="15">
      <c r="B138" s="46"/>
      <c r="C138" s="47"/>
      <c r="D138" s="47"/>
      <c r="E138" s="47"/>
      <c r="F138" s="48"/>
      <c r="G138" s="48"/>
    </row>
    <row r="139" spans="2:7" ht="15">
      <c r="B139" s="46"/>
      <c r="C139" s="47"/>
      <c r="D139" s="47"/>
      <c r="E139" s="47"/>
      <c r="F139" s="48"/>
      <c r="G139" s="48"/>
    </row>
    <row r="140" spans="2:7" ht="15">
      <c r="B140" s="46"/>
      <c r="C140" s="47"/>
      <c r="D140" s="47"/>
      <c r="E140" s="47"/>
      <c r="F140" s="48"/>
      <c r="G140" s="48"/>
    </row>
    <row r="141" spans="2:7" ht="15">
      <c r="B141" s="46"/>
      <c r="C141" s="47"/>
      <c r="D141" s="47"/>
      <c r="E141" s="47"/>
      <c r="F141" s="48"/>
      <c r="G141" s="48"/>
    </row>
    <row r="142" spans="2:7" ht="15">
      <c r="B142" s="46"/>
      <c r="C142" s="47"/>
      <c r="D142" s="47"/>
      <c r="E142" s="47"/>
      <c r="F142" s="48"/>
      <c r="G142" s="48"/>
    </row>
    <row r="143" spans="2:7" ht="15">
      <c r="B143" s="46"/>
      <c r="C143" s="47"/>
      <c r="D143" s="47"/>
      <c r="E143" s="47"/>
      <c r="F143" s="48"/>
      <c r="G143" s="48"/>
    </row>
    <row r="147" ht="12.75">
      <c r="E147" t="s">
        <v>47</v>
      </c>
    </row>
    <row r="148" spans="2:7" ht="15">
      <c r="B148" s="166" t="s">
        <v>48</v>
      </c>
      <c r="C148" s="166"/>
      <c r="D148" s="166"/>
      <c r="E148" s="166"/>
      <c r="F148" s="166"/>
      <c r="G148" s="166"/>
    </row>
    <row r="149" spans="2:7" ht="12.75">
      <c r="B149" s="77"/>
      <c r="C149" s="77"/>
      <c r="D149" s="77"/>
      <c r="E149" s="77"/>
      <c r="F149" s="77"/>
      <c r="G149" s="77"/>
    </row>
    <row r="150" spans="2:7" ht="13.5">
      <c r="B150" s="167" t="s">
        <v>135</v>
      </c>
      <c r="C150" s="167"/>
      <c r="D150" s="167"/>
      <c r="E150" s="167"/>
      <c r="F150" s="167"/>
      <c r="G150" s="167"/>
    </row>
    <row r="151" spans="2:7" ht="13.5" thickBot="1">
      <c r="B151" s="77"/>
      <c r="C151" s="77"/>
      <c r="D151" s="77"/>
      <c r="E151" s="77"/>
      <c r="F151" s="77"/>
      <c r="G151" s="77"/>
    </row>
    <row r="152" spans="2:7" ht="13.5" thickTop="1">
      <c r="B152" s="78"/>
      <c r="C152" s="79" t="s">
        <v>1</v>
      </c>
      <c r="D152" s="79" t="s">
        <v>2</v>
      </c>
      <c r="E152" s="79" t="s">
        <v>2</v>
      </c>
      <c r="F152" s="164" t="s">
        <v>3</v>
      </c>
      <c r="G152" s="165"/>
    </row>
    <row r="153" spans="2:7" ht="12.75">
      <c r="B153" s="80"/>
      <c r="C153" s="81" t="s">
        <v>20</v>
      </c>
      <c r="D153" s="81" t="s">
        <v>21</v>
      </c>
      <c r="E153" s="81" t="s">
        <v>21</v>
      </c>
      <c r="F153" s="82"/>
      <c r="G153" s="83"/>
    </row>
    <row r="154" spans="2:7" ht="15.75">
      <c r="B154" s="18" t="s">
        <v>46</v>
      </c>
      <c r="C154" s="84" t="s">
        <v>133</v>
      </c>
      <c r="D154" s="84" t="s">
        <v>133</v>
      </c>
      <c r="E154" s="84" t="s">
        <v>134</v>
      </c>
      <c r="F154" s="84"/>
      <c r="G154" s="85"/>
    </row>
    <row r="155" spans="2:7" ht="12.75">
      <c r="B155" s="80"/>
      <c r="C155" s="81" t="s">
        <v>6</v>
      </c>
      <c r="D155" s="81" t="s">
        <v>6</v>
      </c>
      <c r="E155" s="81" t="s">
        <v>6</v>
      </c>
      <c r="F155" s="81" t="s">
        <v>4</v>
      </c>
      <c r="G155" s="86" t="s">
        <v>5</v>
      </c>
    </row>
    <row r="156" spans="2:7" ht="12.75">
      <c r="B156" s="76"/>
      <c r="C156" s="87">
        <v>1</v>
      </c>
      <c r="D156" s="87">
        <v>2</v>
      </c>
      <c r="E156" s="87">
        <v>3</v>
      </c>
      <c r="F156" s="87">
        <v>4</v>
      </c>
      <c r="G156" s="88">
        <v>5</v>
      </c>
    </row>
    <row r="157" spans="2:7" ht="12.75">
      <c r="B157" s="75" t="s">
        <v>137</v>
      </c>
      <c r="C157" s="89">
        <f>SUM(C158:C164)</f>
        <v>1239045</v>
      </c>
      <c r="D157" s="89">
        <f>SUM(D158:D164)</f>
        <v>628346</v>
      </c>
      <c r="E157" s="89">
        <f>SUM(E158:E164)</f>
        <v>566117</v>
      </c>
      <c r="F157" s="90">
        <f>SUM(D157/C157%)</f>
        <v>50.712121028695485</v>
      </c>
      <c r="G157" s="91">
        <f>SUM(D157/E157%)</f>
        <v>110.99225071849105</v>
      </c>
    </row>
    <row r="158" spans="2:7" ht="12.75">
      <c r="B158" s="73" t="s">
        <v>152</v>
      </c>
      <c r="C158" s="92">
        <v>565713</v>
      </c>
      <c r="D158" s="92">
        <v>252862</v>
      </c>
      <c r="E158" s="92">
        <v>227933</v>
      </c>
      <c r="F158" s="90">
        <f aca="true" t="shared" si="13" ref="F158:F181">SUM(D158/C158%)</f>
        <v>44.69792986903253</v>
      </c>
      <c r="G158" s="93">
        <f>SUM(D158/E158%)</f>
        <v>110.93698586865439</v>
      </c>
    </row>
    <row r="159" spans="2:7" ht="12.75">
      <c r="B159" s="73" t="s">
        <v>153</v>
      </c>
      <c r="C159" s="92">
        <v>84884</v>
      </c>
      <c r="D159" s="92">
        <v>33002</v>
      </c>
      <c r="E159" s="92">
        <v>38463</v>
      </c>
      <c r="F159" s="90">
        <f t="shared" si="13"/>
        <v>38.87894067197587</v>
      </c>
      <c r="G159" s="93">
        <f aca="true" t="shared" si="14" ref="G159:G181">SUM(D159/E159%)</f>
        <v>85.801939526298</v>
      </c>
    </row>
    <row r="160" spans="2:7" ht="12.75">
      <c r="B160" s="73" t="s">
        <v>148</v>
      </c>
      <c r="C160" s="92">
        <v>146296</v>
      </c>
      <c r="D160" s="92">
        <v>65725</v>
      </c>
      <c r="E160" s="92">
        <v>69069</v>
      </c>
      <c r="F160" s="90">
        <f t="shared" si="13"/>
        <v>44.92604035653743</v>
      </c>
      <c r="G160" s="93">
        <f t="shared" si="14"/>
        <v>95.1584647236821</v>
      </c>
    </row>
    <row r="161" spans="2:7" ht="12.75">
      <c r="B161" s="73" t="s">
        <v>26</v>
      </c>
      <c r="C161" s="92">
        <v>412232</v>
      </c>
      <c r="D161" s="92">
        <v>253556</v>
      </c>
      <c r="E161" s="92">
        <v>138198</v>
      </c>
      <c r="F161" s="90">
        <f t="shared" si="13"/>
        <v>61.508082827145884</v>
      </c>
      <c r="G161" s="93">
        <f t="shared" si="14"/>
        <v>183.4729880316647</v>
      </c>
    </row>
    <row r="162" spans="2:7" ht="12.75">
      <c r="B162" s="73" t="s">
        <v>27</v>
      </c>
      <c r="C162" s="92">
        <v>4000</v>
      </c>
      <c r="D162" s="92">
        <v>981</v>
      </c>
      <c r="E162" s="92">
        <v>2973</v>
      </c>
      <c r="F162" s="90">
        <f t="shared" si="13"/>
        <v>24.525</v>
      </c>
      <c r="G162" s="93">
        <f t="shared" si="14"/>
        <v>32.99697275479314</v>
      </c>
    </row>
    <row r="163" spans="2:7" ht="12.75">
      <c r="B163" s="73" t="s">
        <v>149</v>
      </c>
      <c r="C163" s="92">
        <v>6000</v>
      </c>
      <c r="D163" s="92">
        <v>3500</v>
      </c>
      <c r="E163" s="92">
        <v>4000</v>
      </c>
      <c r="F163" s="90">
        <f t="shared" si="13"/>
        <v>58.333333333333336</v>
      </c>
      <c r="G163" s="93">
        <f t="shared" si="14"/>
        <v>87.5</v>
      </c>
    </row>
    <row r="164" spans="2:7" ht="12.75">
      <c r="B164" s="73" t="s">
        <v>150</v>
      </c>
      <c r="C164" s="92">
        <v>19920</v>
      </c>
      <c r="D164" s="92">
        <v>18720</v>
      </c>
      <c r="E164" s="92">
        <v>85481</v>
      </c>
      <c r="F164" s="94">
        <f t="shared" si="13"/>
        <v>93.97590361445783</v>
      </c>
      <c r="G164" s="93">
        <f t="shared" si="14"/>
        <v>21.899603420643185</v>
      </c>
    </row>
    <row r="165" spans="2:7" ht="12.75">
      <c r="B165" s="74" t="s">
        <v>138</v>
      </c>
      <c r="C165" s="89">
        <f>SUM(C166:C169)</f>
        <v>1081541</v>
      </c>
      <c r="D165" s="89">
        <f>SUM(D166:D169)</f>
        <v>54525</v>
      </c>
      <c r="E165" s="89">
        <f>SUM(E166:E169)</f>
        <v>50448</v>
      </c>
      <c r="F165" s="90">
        <f t="shared" si="13"/>
        <v>5.041417754851643</v>
      </c>
      <c r="G165" s="91">
        <f t="shared" si="14"/>
        <v>108.08158896289248</v>
      </c>
    </row>
    <row r="166" spans="2:7" ht="12.75">
      <c r="B166" s="73" t="s">
        <v>153</v>
      </c>
      <c r="C166" s="92">
        <v>41938</v>
      </c>
      <c r="D166" s="92">
        <v>11382</v>
      </c>
      <c r="E166" s="92">
        <v>9799</v>
      </c>
      <c r="F166" s="94">
        <f t="shared" si="13"/>
        <v>27.140063903858078</v>
      </c>
      <c r="G166" s="93">
        <f t="shared" si="14"/>
        <v>116.15470966425146</v>
      </c>
    </row>
    <row r="167" spans="2:7" ht="12.75">
      <c r="B167" s="73" t="s">
        <v>148</v>
      </c>
      <c r="C167" s="92">
        <v>8459</v>
      </c>
      <c r="D167" s="92">
        <v>2170</v>
      </c>
      <c r="E167" s="92">
        <v>1836</v>
      </c>
      <c r="F167" s="94">
        <f t="shared" si="13"/>
        <v>25.653150490601725</v>
      </c>
      <c r="G167" s="93">
        <f t="shared" si="14"/>
        <v>118.19172113289761</v>
      </c>
    </row>
    <row r="168" spans="2:7" ht="12.75">
      <c r="B168" s="73" t="s">
        <v>26</v>
      </c>
      <c r="C168" s="92">
        <v>18791</v>
      </c>
      <c r="D168" s="92">
        <v>3458</v>
      </c>
      <c r="E168" s="92">
        <v>6317</v>
      </c>
      <c r="F168" s="94">
        <f t="shared" si="13"/>
        <v>18.40242669362993</v>
      </c>
      <c r="G168" s="93">
        <f t="shared" si="14"/>
        <v>54.74117460820009</v>
      </c>
    </row>
    <row r="169" spans="2:7" ht="12.75">
      <c r="B169" s="73" t="s">
        <v>150</v>
      </c>
      <c r="C169" s="92">
        <v>1012353</v>
      </c>
      <c r="D169" s="92">
        <v>37515</v>
      </c>
      <c r="E169" s="92">
        <v>32496</v>
      </c>
      <c r="F169" s="94">
        <f t="shared" si="13"/>
        <v>3.70572320129441</v>
      </c>
      <c r="G169" s="93">
        <f t="shared" si="14"/>
        <v>115.44497784342688</v>
      </c>
    </row>
    <row r="170" spans="2:7" ht="12.75">
      <c r="B170" s="75" t="s">
        <v>139</v>
      </c>
      <c r="C170" s="89">
        <f>SUM(C171:C176)</f>
        <v>3169873</v>
      </c>
      <c r="D170" s="89">
        <f>SUM(D171:D176)</f>
        <v>1589212</v>
      </c>
      <c r="E170" s="89">
        <f>SUM(E171:E176)</f>
        <v>1351815</v>
      </c>
      <c r="F170" s="90">
        <f t="shared" si="13"/>
        <v>50.13487922071326</v>
      </c>
      <c r="G170" s="91">
        <f t="shared" si="14"/>
        <v>117.56135269988867</v>
      </c>
    </row>
    <row r="171" spans="2:7" ht="12.75">
      <c r="B171" s="73" t="s">
        <v>146</v>
      </c>
      <c r="C171" s="92">
        <v>1764110</v>
      </c>
      <c r="D171" s="92">
        <v>853896</v>
      </c>
      <c r="E171" s="92">
        <v>705645</v>
      </c>
      <c r="F171" s="94">
        <f t="shared" si="13"/>
        <v>48.40378434451367</v>
      </c>
      <c r="G171" s="93">
        <f t="shared" si="14"/>
        <v>121.00928937355187</v>
      </c>
    </row>
    <row r="172" spans="2:7" ht="12.75">
      <c r="B172" s="73" t="s">
        <v>147</v>
      </c>
      <c r="C172" s="92">
        <v>51068</v>
      </c>
      <c r="D172" s="92">
        <v>22215</v>
      </c>
      <c r="E172" s="92">
        <v>17815</v>
      </c>
      <c r="F172" s="94">
        <f t="shared" si="13"/>
        <v>43.50082243283465</v>
      </c>
      <c r="G172" s="93">
        <f t="shared" si="14"/>
        <v>124.69828795958462</v>
      </c>
    </row>
    <row r="173" spans="2:7" ht="12.75">
      <c r="B173" s="73" t="s">
        <v>148</v>
      </c>
      <c r="C173" s="92">
        <v>406662</v>
      </c>
      <c r="D173" s="92">
        <v>199129</v>
      </c>
      <c r="E173" s="92">
        <v>188398</v>
      </c>
      <c r="F173" s="94">
        <f t="shared" si="13"/>
        <v>48.96670945404291</v>
      </c>
      <c r="G173" s="93">
        <f t="shared" si="14"/>
        <v>105.69592033885709</v>
      </c>
    </row>
    <row r="174" spans="2:7" ht="12.75">
      <c r="B174" s="73" t="s">
        <v>26</v>
      </c>
      <c r="C174" s="92">
        <v>928709</v>
      </c>
      <c r="D174" s="92">
        <v>503388</v>
      </c>
      <c r="E174" s="92">
        <v>405597</v>
      </c>
      <c r="F174" s="94">
        <f t="shared" si="13"/>
        <v>54.20298500391404</v>
      </c>
      <c r="G174" s="93">
        <f t="shared" si="14"/>
        <v>124.11038543184492</v>
      </c>
    </row>
    <row r="175" spans="2:7" ht="12.75">
      <c r="B175" s="73" t="s">
        <v>32</v>
      </c>
      <c r="C175" s="92">
        <v>19324</v>
      </c>
      <c r="D175" s="92">
        <v>10584</v>
      </c>
      <c r="E175" s="92">
        <v>9477</v>
      </c>
      <c r="F175" s="94">
        <f t="shared" si="13"/>
        <v>54.77126888842889</v>
      </c>
      <c r="G175" s="93">
        <f t="shared" si="14"/>
        <v>111.68091168091169</v>
      </c>
    </row>
    <row r="176" spans="2:7" ht="12.75">
      <c r="B176" s="73" t="s">
        <v>150</v>
      </c>
      <c r="C176" s="92"/>
      <c r="D176" s="92"/>
      <c r="E176" s="92">
        <v>24883</v>
      </c>
      <c r="F176" s="94"/>
      <c r="G176" s="93"/>
    </row>
    <row r="177" spans="2:7" ht="12.75">
      <c r="B177" s="75" t="s">
        <v>140</v>
      </c>
      <c r="C177" s="89">
        <f>SUM(C178:C182)</f>
        <v>93078</v>
      </c>
      <c r="D177" s="89">
        <f>SUM(D178:D182)</f>
        <v>39874</v>
      </c>
      <c r="E177" s="89">
        <f>SUM(E178:E182)</f>
        <v>24462</v>
      </c>
      <c r="F177" s="90">
        <f t="shared" si="13"/>
        <v>42.839339048969684</v>
      </c>
      <c r="G177" s="91">
        <f t="shared" si="14"/>
        <v>163.00384269479193</v>
      </c>
    </row>
    <row r="178" spans="2:7" ht="12.75">
      <c r="B178" s="73" t="s">
        <v>146</v>
      </c>
      <c r="C178" s="92">
        <v>65609</v>
      </c>
      <c r="D178" s="92">
        <v>28252</v>
      </c>
      <c r="E178" s="92">
        <v>17814</v>
      </c>
      <c r="F178" s="94">
        <f t="shared" si="13"/>
        <v>43.061165388894814</v>
      </c>
      <c r="G178" s="93">
        <f t="shared" si="14"/>
        <v>158.59436398338386</v>
      </c>
    </row>
    <row r="179" spans="2:7" ht="12.75">
      <c r="B179" s="73" t="s">
        <v>147</v>
      </c>
      <c r="C179" s="92">
        <v>1283</v>
      </c>
      <c r="D179" s="92">
        <v>374</v>
      </c>
      <c r="E179" s="92">
        <v>301</v>
      </c>
      <c r="F179" s="94">
        <f t="shared" si="13"/>
        <v>29.150428682774745</v>
      </c>
      <c r="G179" s="93">
        <f t="shared" si="14"/>
        <v>124.25249169435217</v>
      </c>
    </row>
    <row r="180" spans="2:7" ht="12.75">
      <c r="B180" s="73" t="s">
        <v>148</v>
      </c>
      <c r="C180" s="92">
        <v>13868</v>
      </c>
      <c r="D180" s="92">
        <v>5716</v>
      </c>
      <c r="E180" s="92">
        <v>4249</v>
      </c>
      <c r="F180" s="94">
        <f t="shared" si="13"/>
        <v>41.21719065474473</v>
      </c>
      <c r="G180" s="93">
        <f t="shared" si="14"/>
        <v>134.52577076959284</v>
      </c>
    </row>
    <row r="181" spans="2:7" ht="12.75">
      <c r="B181" s="73" t="s">
        <v>26</v>
      </c>
      <c r="C181" s="92">
        <v>12318</v>
      </c>
      <c r="D181" s="92">
        <v>5532</v>
      </c>
      <c r="E181" s="92">
        <v>2098</v>
      </c>
      <c r="F181" s="94">
        <f t="shared" si="13"/>
        <v>44.909887968826105</v>
      </c>
      <c r="G181" s="93">
        <f t="shared" si="14"/>
        <v>263.6796949475691</v>
      </c>
    </row>
    <row r="182" spans="2:7" ht="12.75">
      <c r="B182" s="73" t="s">
        <v>150</v>
      </c>
      <c r="C182" s="92"/>
      <c r="D182" s="92"/>
      <c r="E182" s="92"/>
      <c r="F182" s="94"/>
      <c r="G182" s="93"/>
    </row>
    <row r="183" spans="2:7" ht="12.75">
      <c r="B183" s="75" t="s">
        <v>143</v>
      </c>
      <c r="C183" s="89">
        <f>SUM(C184:C190)</f>
        <v>1490821</v>
      </c>
      <c r="D183" s="89">
        <f>SUM(D184:D190)</f>
        <v>781593</v>
      </c>
      <c r="E183" s="89">
        <f>SUM(E184:E190)</f>
        <v>648906</v>
      </c>
      <c r="F183" s="90">
        <f aca="true" t="shared" si="15" ref="F183:F190">SUM(D183/C183%)</f>
        <v>52.427018401270175</v>
      </c>
      <c r="G183" s="91">
        <f aca="true" t="shared" si="16" ref="G183:G190">SUM(D183/E183%)</f>
        <v>120.4477998354153</v>
      </c>
    </row>
    <row r="184" spans="2:7" ht="12.75">
      <c r="B184" s="73" t="s">
        <v>146</v>
      </c>
      <c r="C184" s="92">
        <v>362657</v>
      </c>
      <c r="D184" s="92">
        <v>141799</v>
      </c>
      <c r="E184" s="92">
        <v>112656</v>
      </c>
      <c r="F184" s="94">
        <f t="shared" si="15"/>
        <v>39.10003115891875</v>
      </c>
      <c r="G184" s="93">
        <f t="shared" si="16"/>
        <v>125.86901718505895</v>
      </c>
    </row>
    <row r="185" spans="2:7" ht="12.75">
      <c r="B185" s="73" t="s">
        <v>147</v>
      </c>
      <c r="C185" s="92">
        <v>222930</v>
      </c>
      <c r="D185" s="92">
        <v>201805</v>
      </c>
      <c r="E185" s="92">
        <v>233641</v>
      </c>
      <c r="F185" s="94">
        <f t="shared" si="15"/>
        <v>90.52393127887677</v>
      </c>
      <c r="G185" s="93">
        <f t="shared" si="16"/>
        <v>86.37396689793316</v>
      </c>
    </row>
    <row r="186" spans="2:7" ht="12.75">
      <c r="B186" s="73" t="s">
        <v>148</v>
      </c>
      <c r="C186" s="92">
        <v>119427</v>
      </c>
      <c r="D186" s="92">
        <v>68162</v>
      </c>
      <c r="E186" s="92">
        <v>79136</v>
      </c>
      <c r="F186" s="94">
        <f t="shared" si="15"/>
        <v>57.07419595233909</v>
      </c>
      <c r="G186" s="93">
        <f t="shared" si="16"/>
        <v>86.13273352203801</v>
      </c>
    </row>
    <row r="187" spans="2:7" ht="12.75">
      <c r="B187" s="73" t="s">
        <v>26</v>
      </c>
      <c r="C187" s="92">
        <v>525962</v>
      </c>
      <c r="D187" s="92">
        <v>197238</v>
      </c>
      <c r="E187" s="92">
        <v>129392</v>
      </c>
      <c r="F187" s="94">
        <f t="shared" si="15"/>
        <v>37.5004277875588</v>
      </c>
      <c r="G187" s="93">
        <f t="shared" si="16"/>
        <v>152.43446271794238</v>
      </c>
    </row>
    <row r="188" spans="2:7" ht="12.75">
      <c r="B188" s="73" t="s">
        <v>51</v>
      </c>
      <c r="C188" s="92">
        <v>29110</v>
      </c>
      <c r="D188" s="92">
        <v>29110</v>
      </c>
      <c r="E188" s="92">
        <v>25172</v>
      </c>
      <c r="F188" s="94">
        <f t="shared" si="15"/>
        <v>99.99999999999999</v>
      </c>
      <c r="G188" s="93">
        <f t="shared" si="16"/>
        <v>115.64436675671381</v>
      </c>
    </row>
    <row r="189" spans="2:7" ht="12.75">
      <c r="B189" s="73" t="s">
        <v>32</v>
      </c>
      <c r="C189" s="95">
        <v>25560</v>
      </c>
      <c r="D189" s="95">
        <v>7030</v>
      </c>
      <c r="E189" s="95">
        <v>1314</v>
      </c>
      <c r="F189" s="96">
        <f t="shared" si="15"/>
        <v>27.503912363067293</v>
      </c>
      <c r="G189" s="97">
        <f t="shared" si="16"/>
        <v>535.0076103500761</v>
      </c>
    </row>
    <row r="190" spans="2:7" ht="12.75">
      <c r="B190" s="73" t="s">
        <v>150</v>
      </c>
      <c r="C190" s="95">
        <v>205175</v>
      </c>
      <c r="D190" s="95">
        <v>136449</v>
      </c>
      <c r="E190" s="95">
        <v>67595</v>
      </c>
      <c r="F190" s="96">
        <f t="shared" si="15"/>
        <v>66.50371633971001</v>
      </c>
      <c r="G190" s="97">
        <f t="shared" si="16"/>
        <v>201.86256379909756</v>
      </c>
    </row>
    <row r="191" spans="2:7" ht="12.75">
      <c r="B191" s="76" t="s">
        <v>144</v>
      </c>
      <c r="C191" s="89">
        <f>SUM(C192:C196)</f>
        <v>937444</v>
      </c>
      <c r="D191" s="89">
        <f>SUM(D192:D196)</f>
        <v>585202</v>
      </c>
      <c r="E191" s="89">
        <f>SUM(E192:E196)</f>
        <v>181984</v>
      </c>
      <c r="F191" s="90">
        <f aca="true" t="shared" si="17" ref="F191:F213">SUM(D191/C191%)</f>
        <v>62.425275536458706</v>
      </c>
      <c r="G191" s="91">
        <f aca="true" t="shared" si="18" ref="G191:G220">SUM(D191/E191%)</f>
        <v>321.56783013891334</v>
      </c>
    </row>
    <row r="192" spans="2:7" ht="12.75">
      <c r="B192" s="73" t="s">
        <v>146</v>
      </c>
      <c r="C192" s="92">
        <v>64253</v>
      </c>
      <c r="D192" s="92">
        <v>35452</v>
      </c>
      <c r="E192" s="92">
        <v>27590</v>
      </c>
      <c r="F192" s="94">
        <f t="shared" si="17"/>
        <v>55.17563382254525</v>
      </c>
      <c r="G192" s="93">
        <f t="shared" si="18"/>
        <v>128.49583182312432</v>
      </c>
    </row>
    <row r="193" spans="2:7" ht="12.75">
      <c r="B193" s="73" t="s">
        <v>147</v>
      </c>
      <c r="C193" s="92">
        <v>3384</v>
      </c>
      <c r="D193" s="92">
        <v>2215</v>
      </c>
      <c r="E193" s="92">
        <v>1521</v>
      </c>
      <c r="F193" s="94">
        <f t="shared" si="17"/>
        <v>65.45508274231678</v>
      </c>
      <c r="G193" s="93">
        <f t="shared" si="18"/>
        <v>145.62787639710714</v>
      </c>
    </row>
    <row r="194" spans="2:7" ht="12.75">
      <c r="B194" s="73" t="s">
        <v>148</v>
      </c>
      <c r="C194" s="92">
        <v>13594</v>
      </c>
      <c r="D194" s="92">
        <v>7528</v>
      </c>
      <c r="E194" s="92">
        <v>6735</v>
      </c>
      <c r="F194" s="94">
        <f t="shared" si="17"/>
        <v>55.37737237016331</v>
      </c>
      <c r="G194" s="93">
        <f t="shared" si="18"/>
        <v>111.77431328878991</v>
      </c>
    </row>
    <row r="195" spans="2:7" ht="12.75">
      <c r="B195" s="73" t="s">
        <v>26</v>
      </c>
      <c r="C195" s="92">
        <v>407147</v>
      </c>
      <c r="D195" s="92">
        <v>171333</v>
      </c>
      <c r="E195" s="92">
        <v>141742</v>
      </c>
      <c r="F195" s="94">
        <f t="shared" si="17"/>
        <v>42.08136127737648</v>
      </c>
      <c r="G195" s="93">
        <f t="shared" si="18"/>
        <v>120.87666323319834</v>
      </c>
    </row>
    <row r="196" spans="2:7" ht="13.5" thickBot="1">
      <c r="B196" s="107" t="s">
        <v>150</v>
      </c>
      <c r="C196" s="98">
        <v>449066</v>
      </c>
      <c r="D196" s="98">
        <v>368674</v>
      </c>
      <c r="E196" s="98">
        <v>4396</v>
      </c>
      <c r="F196" s="99">
        <f t="shared" si="17"/>
        <v>82.09795442095371</v>
      </c>
      <c r="G196" s="100">
        <f t="shared" si="18"/>
        <v>8386.578707916287</v>
      </c>
    </row>
    <row r="197" spans="2:7" ht="13.5" thickTop="1">
      <c r="B197" s="108"/>
      <c r="C197" s="101"/>
      <c r="D197" s="101"/>
      <c r="E197" s="101"/>
      <c r="F197" s="102"/>
      <c r="G197" s="102"/>
    </row>
    <row r="198" spans="2:7" ht="12.75">
      <c r="B198" s="108"/>
      <c r="C198" s="101"/>
      <c r="D198" s="101"/>
      <c r="E198" s="101"/>
      <c r="F198" s="102"/>
      <c r="G198" s="102"/>
    </row>
    <row r="199" spans="2:7" ht="12.75">
      <c r="B199" s="108"/>
      <c r="C199" s="101"/>
      <c r="D199" s="101"/>
      <c r="E199" s="101"/>
      <c r="F199" s="102"/>
      <c r="G199" s="102"/>
    </row>
    <row r="200" spans="2:7" ht="13.5" thickBot="1">
      <c r="B200" s="108"/>
      <c r="C200" s="101"/>
      <c r="D200" s="101"/>
      <c r="E200" s="101"/>
      <c r="F200" s="102"/>
      <c r="G200" s="102"/>
    </row>
    <row r="201" spans="2:7" ht="13.5" thickTop="1">
      <c r="B201" s="78"/>
      <c r="C201" s="79" t="s">
        <v>1</v>
      </c>
      <c r="D201" s="79" t="s">
        <v>2</v>
      </c>
      <c r="E201" s="79" t="s">
        <v>2</v>
      </c>
      <c r="F201" s="164" t="s">
        <v>3</v>
      </c>
      <c r="G201" s="165"/>
    </row>
    <row r="202" spans="2:7" ht="12.75">
      <c r="B202" s="80"/>
      <c r="C202" s="81" t="s">
        <v>20</v>
      </c>
      <c r="D202" s="81" t="s">
        <v>21</v>
      </c>
      <c r="E202" s="81" t="s">
        <v>21</v>
      </c>
      <c r="F202" s="82"/>
      <c r="G202" s="83"/>
    </row>
    <row r="203" spans="2:7" ht="15.75">
      <c r="B203" s="18" t="s">
        <v>46</v>
      </c>
      <c r="C203" s="84" t="s">
        <v>130</v>
      </c>
      <c r="D203" s="84" t="s">
        <v>130</v>
      </c>
      <c r="E203" s="84" t="s">
        <v>131</v>
      </c>
      <c r="F203" s="84"/>
      <c r="G203" s="85"/>
    </row>
    <row r="204" spans="2:7" ht="12.75">
      <c r="B204" s="80"/>
      <c r="C204" s="81" t="s">
        <v>6</v>
      </c>
      <c r="D204" s="81" t="s">
        <v>6</v>
      </c>
      <c r="E204" s="81" t="s">
        <v>6</v>
      </c>
      <c r="F204" s="81" t="s">
        <v>4</v>
      </c>
      <c r="G204" s="86" t="s">
        <v>5</v>
      </c>
    </row>
    <row r="205" spans="2:7" ht="12.75">
      <c r="B205" s="76"/>
      <c r="C205" s="87">
        <v>1</v>
      </c>
      <c r="D205" s="87">
        <v>2</v>
      </c>
      <c r="E205" s="87">
        <v>3</v>
      </c>
      <c r="F205" s="87">
        <v>4</v>
      </c>
      <c r="G205" s="88">
        <v>5</v>
      </c>
    </row>
    <row r="206" spans="2:7" ht="12.75">
      <c r="B206" s="76" t="s">
        <v>141</v>
      </c>
      <c r="C206" s="89">
        <f>SUM(C207:C213)</f>
        <v>274982</v>
      </c>
      <c r="D206" s="89">
        <f>SUM(D207:D213)</f>
        <v>109744</v>
      </c>
      <c r="E206" s="89">
        <f>SUM(E207:E213)</f>
        <v>117558</v>
      </c>
      <c r="F206" s="90">
        <f t="shared" si="17"/>
        <v>39.90952135048839</v>
      </c>
      <c r="G206" s="91">
        <f t="shared" si="18"/>
        <v>93.35306827268242</v>
      </c>
    </row>
    <row r="207" spans="2:7" ht="12.75">
      <c r="B207" s="73" t="s">
        <v>146</v>
      </c>
      <c r="C207" s="92">
        <v>25523</v>
      </c>
      <c r="D207" s="92">
        <v>11215</v>
      </c>
      <c r="E207" s="92">
        <v>8993</v>
      </c>
      <c r="F207" s="94">
        <f t="shared" si="17"/>
        <v>43.940759315127536</v>
      </c>
      <c r="G207" s="93">
        <f t="shared" si="18"/>
        <v>124.70810630490381</v>
      </c>
    </row>
    <row r="208" spans="2:7" ht="12.75">
      <c r="B208" s="73" t="s">
        <v>147</v>
      </c>
      <c r="C208" s="92">
        <v>1500</v>
      </c>
      <c r="D208" s="92">
        <v>1099</v>
      </c>
      <c r="E208" s="92">
        <v>626</v>
      </c>
      <c r="F208" s="94">
        <f t="shared" si="17"/>
        <v>73.26666666666667</v>
      </c>
      <c r="G208" s="93">
        <f t="shared" si="18"/>
        <v>175.55910543130992</v>
      </c>
    </row>
    <row r="209" spans="2:7" ht="12.75">
      <c r="B209" s="73" t="s">
        <v>148</v>
      </c>
      <c r="C209" s="92">
        <v>5157</v>
      </c>
      <c r="D209" s="92">
        <v>2376</v>
      </c>
      <c r="E209" s="92">
        <v>2224</v>
      </c>
      <c r="F209" s="94">
        <f t="shared" si="17"/>
        <v>46.07329842931937</v>
      </c>
      <c r="G209" s="93">
        <f t="shared" si="18"/>
        <v>106.83453237410073</v>
      </c>
    </row>
    <row r="210" spans="2:7" ht="12.75">
      <c r="B210" s="73" t="s">
        <v>26</v>
      </c>
      <c r="C210" s="92">
        <v>51541</v>
      </c>
      <c r="D210" s="92">
        <v>9444</v>
      </c>
      <c r="E210" s="92">
        <v>10337</v>
      </c>
      <c r="F210" s="94">
        <f t="shared" si="17"/>
        <v>18.323276614733903</v>
      </c>
      <c r="G210" s="93">
        <f t="shared" si="18"/>
        <v>91.36112992164071</v>
      </c>
    </row>
    <row r="211" spans="2:7" ht="12.75">
      <c r="B211" s="73" t="s">
        <v>52</v>
      </c>
      <c r="C211" s="92">
        <v>500</v>
      </c>
      <c r="D211" s="92"/>
      <c r="E211" s="92"/>
      <c r="F211" s="94">
        <f t="shared" si="17"/>
        <v>0</v>
      </c>
      <c r="G211" s="93"/>
    </row>
    <row r="212" spans="2:7" ht="12.75">
      <c r="B212" s="73" t="s">
        <v>37</v>
      </c>
      <c r="C212" s="92">
        <v>155837</v>
      </c>
      <c r="D212" s="92">
        <v>70910</v>
      </c>
      <c r="E212" s="92">
        <v>75825</v>
      </c>
      <c r="F212" s="94">
        <f t="shared" si="17"/>
        <v>45.50267266438651</v>
      </c>
      <c r="G212" s="93">
        <f t="shared" si="18"/>
        <v>93.51796900758325</v>
      </c>
    </row>
    <row r="213" spans="2:7" ht="12.75">
      <c r="B213" s="73" t="s">
        <v>150</v>
      </c>
      <c r="C213" s="92">
        <v>34924</v>
      </c>
      <c r="D213" s="92">
        <v>14700</v>
      </c>
      <c r="E213" s="92">
        <v>19553</v>
      </c>
      <c r="F213" s="94">
        <f t="shared" si="17"/>
        <v>42.091398465238804</v>
      </c>
      <c r="G213" s="93">
        <f t="shared" si="18"/>
        <v>75.18027924103718</v>
      </c>
    </row>
    <row r="214" spans="2:7" ht="12.75">
      <c r="B214" s="74" t="s">
        <v>142</v>
      </c>
      <c r="C214" s="89">
        <f>SUM(C215:C220)</f>
        <v>1405218</v>
      </c>
      <c r="D214" s="89">
        <f>SUM(D215:D220)</f>
        <v>610636</v>
      </c>
      <c r="E214" s="89">
        <f>SUM(E215:E220)</f>
        <v>899475</v>
      </c>
      <c r="F214" s="90">
        <f>SUM(D214/C214%)</f>
        <v>43.45489454305311</v>
      </c>
      <c r="G214" s="91">
        <f t="shared" si="18"/>
        <v>67.88804580449707</v>
      </c>
    </row>
    <row r="215" spans="2:7" ht="12.75">
      <c r="B215" s="73" t="s">
        <v>146</v>
      </c>
      <c r="C215" s="92">
        <v>201973</v>
      </c>
      <c r="D215" s="92">
        <v>100203</v>
      </c>
      <c r="E215" s="92">
        <v>86468</v>
      </c>
      <c r="F215" s="94">
        <f aca="true" t="shared" si="19" ref="F215:F222">SUM(D215/C215%)</f>
        <v>49.61207686175875</v>
      </c>
      <c r="G215" s="93">
        <f t="shared" si="18"/>
        <v>115.88448905953648</v>
      </c>
    </row>
    <row r="216" spans="2:7" ht="12.75">
      <c r="B216" s="73" t="s">
        <v>147</v>
      </c>
      <c r="C216" s="92">
        <v>3370</v>
      </c>
      <c r="D216" s="92">
        <v>3369</v>
      </c>
      <c r="E216" s="92">
        <v>5592</v>
      </c>
      <c r="F216" s="94">
        <f t="shared" si="19"/>
        <v>99.97032640949554</v>
      </c>
      <c r="G216" s="93">
        <f t="shared" si="18"/>
        <v>60.24678111587983</v>
      </c>
    </row>
    <row r="217" spans="2:7" ht="12.75">
      <c r="B217" s="73" t="s">
        <v>148</v>
      </c>
      <c r="C217" s="92">
        <v>41518</v>
      </c>
      <c r="D217" s="92">
        <v>20793</v>
      </c>
      <c r="E217" s="92">
        <v>21571</v>
      </c>
      <c r="F217" s="94">
        <f t="shared" si="19"/>
        <v>50.081892191338696</v>
      </c>
      <c r="G217" s="93">
        <f t="shared" si="18"/>
        <v>96.3933058272681</v>
      </c>
    </row>
    <row r="218" spans="2:7" ht="12.75">
      <c r="B218" s="73" t="s">
        <v>26</v>
      </c>
      <c r="C218" s="92">
        <v>675239</v>
      </c>
      <c r="D218" s="92">
        <v>359301</v>
      </c>
      <c r="E218" s="92">
        <v>480530</v>
      </c>
      <c r="F218" s="94">
        <f t="shared" si="19"/>
        <v>53.21093716447065</v>
      </c>
      <c r="G218" s="93">
        <f t="shared" si="18"/>
        <v>74.77181445487274</v>
      </c>
    </row>
    <row r="219" spans="2:7" ht="12.75">
      <c r="B219" s="73" t="s">
        <v>37</v>
      </c>
      <c r="C219" s="92">
        <v>27691</v>
      </c>
      <c r="D219" s="92">
        <v>20266</v>
      </c>
      <c r="E219" s="92">
        <v>8900</v>
      </c>
      <c r="F219" s="94">
        <f t="shared" si="19"/>
        <v>73.18623379437362</v>
      </c>
      <c r="G219" s="93">
        <f t="shared" si="18"/>
        <v>227.7078651685393</v>
      </c>
    </row>
    <row r="220" spans="2:7" ht="12.75">
      <c r="B220" s="73" t="s">
        <v>150</v>
      </c>
      <c r="C220" s="92">
        <v>455427</v>
      </c>
      <c r="D220" s="92">
        <v>106704</v>
      </c>
      <c r="E220" s="92">
        <v>296414</v>
      </c>
      <c r="F220" s="94">
        <f t="shared" si="19"/>
        <v>23.429440942236624</v>
      </c>
      <c r="G220" s="93">
        <f t="shared" si="18"/>
        <v>35.99829967545393</v>
      </c>
    </row>
    <row r="221" spans="2:7" ht="12.75">
      <c r="B221" s="75" t="s">
        <v>145</v>
      </c>
      <c r="C221" s="89">
        <f>SUM(C222:C223)</f>
        <v>7300</v>
      </c>
      <c r="D221" s="89">
        <f>SUM(D222:D222)</f>
        <v>2489</v>
      </c>
      <c r="E221" s="89">
        <f>SUM(E222:E222)</f>
        <v>828</v>
      </c>
      <c r="F221" s="90">
        <f t="shared" si="19"/>
        <v>34.0958904109589</v>
      </c>
      <c r="G221" s="91">
        <f>SUM(D221/E221%)</f>
        <v>300.6038647342995</v>
      </c>
    </row>
    <row r="222" spans="2:7" ht="12.75">
      <c r="B222" s="73" t="s">
        <v>39</v>
      </c>
      <c r="C222" s="92">
        <v>7300</v>
      </c>
      <c r="D222" s="92">
        <v>2489</v>
      </c>
      <c r="E222" s="103">
        <v>828</v>
      </c>
      <c r="F222" s="90">
        <f t="shared" si="19"/>
        <v>34.0958904109589</v>
      </c>
      <c r="G222" s="93">
        <f>SUM(D222/E222%)</f>
        <v>300.6038647342995</v>
      </c>
    </row>
    <row r="223" spans="2:7" ht="13.5" thickBot="1">
      <c r="B223" s="107" t="s">
        <v>26</v>
      </c>
      <c r="C223" s="98"/>
      <c r="D223" s="98"/>
      <c r="E223" s="110"/>
      <c r="F223" s="99"/>
      <c r="G223" s="100"/>
    </row>
    <row r="224" spans="2:7" ht="13.5" thickTop="1">
      <c r="B224" s="109" t="s">
        <v>41</v>
      </c>
      <c r="C224" s="104">
        <f>SUM(C225:C236)</f>
        <v>9699302</v>
      </c>
      <c r="D224" s="104">
        <f>SUM(D225:D236)</f>
        <v>4401621</v>
      </c>
      <c r="E224" s="104">
        <f>SUM(E225:E236)</f>
        <v>3841593</v>
      </c>
      <c r="F224" s="105">
        <f aca="true" t="shared" si="20" ref="F224:F231">SUM(D224/C224%)</f>
        <v>45.38080162881824</v>
      </c>
      <c r="G224" s="106">
        <f aca="true" t="shared" si="21" ref="G224:G236">SUM(D224/E224%)</f>
        <v>114.57801490163065</v>
      </c>
    </row>
    <row r="225" spans="2:7" ht="12.75">
      <c r="B225" s="73" t="s">
        <v>146</v>
      </c>
      <c r="C225" s="92">
        <f>C158+C171+C178+C184+C192+C207+C215</f>
        <v>3049838</v>
      </c>
      <c r="D225" s="92">
        <f>D158+D171+D178+D184+D192+D207+D215</f>
        <v>1423679</v>
      </c>
      <c r="E225" s="92">
        <f>E158+E171+E178+E184+E192+E207+E215</f>
        <v>1187099</v>
      </c>
      <c r="F225" s="94">
        <f t="shared" si="20"/>
        <v>46.6804794221857</v>
      </c>
      <c r="G225" s="93">
        <f t="shared" si="21"/>
        <v>119.92925611090567</v>
      </c>
    </row>
    <row r="226" spans="2:7" ht="12.75">
      <c r="B226" s="73" t="s">
        <v>147</v>
      </c>
      <c r="C226" s="92">
        <f>C159+C166+C172+C179+C185+C193+C208+C216</f>
        <v>410357</v>
      </c>
      <c r="D226" s="92">
        <f>D159+D166+D172+D179+D185+D193+D208+D216</f>
        <v>275461</v>
      </c>
      <c r="E226" s="92">
        <f>E159+E166+E172+E185+E193+E208+E216+E179</f>
        <v>307758</v>
      </c>
      <c r="F226" s="94">
        <f t="shared" si="20"/>
        <v>67.12716000945518</v>
      </c>
      <c r="G226" s="93">
        <f t="shared" si="21"/>
        <v>89.5057155297344</v>
      </c>
    </row>
    <row r="227" spans="2:7" ht="12.75">
      <c r="B227" s="73" t="s">
        <v>148</v>
      </c>
      <c r="C227" s="92">
        <f>C160+C167+C173+C180+C186+C194+C209+C217</f>
        <v>754981</v>
      </c>
      <c r="D227" s="92">
        <f>D160+D167+D173+D180+D186+D194+D209+D217</f>
        <v>371599</v>
      </c>
      <c r="E227" s="92">
        <f>E160+E167+E173+E180+E186+E194+E209+E217</f>
        <v>373218</v>
      </c>
      <c r="F227" s="94">
        <f t="shared" si="20"/>
        <v>49.21964923620594</v>
      </c>
      <c r="G227" s="93">
        <f t="shared" si="21"/>
        <v>99.56620527412933</v>
      </c>
    </row>
    <row r="228" spans="2:7" ht="12.75">
      <c r="B228" s="73" t="s">
        <v>26</v>
      </c>
      <c r="C228" s="92">
        <f>C161+C168+C174+C181+C187+C195+C210+C218+C223</f>
        <v>3031939</v>
      </c>
      <c r="D228" s="92">
        <f>D161+D168+D174+D181+D187+D195+D210+D218+D223</f>
        <v>1503250</v>
      </c>
      <c r="E228" s="92">
        <f>E161+E168+E174+E181+E187+E195+E210+E218</f>
        <v>1314211</v>
      </c>
      <c r="F228" s="94">
        <f t="shared" si="20"/>
        <v>49.58048298465108</v>
      </c>
      <c r="G228" s="93">
        <f t="shared" si="21"/>
        <v>114.38421988554349</v>
      </c>
    </row>
    <row r="229" spans="2:7" ht="12.75">
      <c r="B229" s="73" t="s">
        <v>32</v>
      </c>
      <c r="C229" s="92">
        <f>C175+C189</f>
        <v>44884</v>
      </c>
      <c r="D229" s="92">
        <f>D175+D189</f>
        <v>17614</v>
      </c>
      <c r="E229" s="92">
        <f>E175+E189</f>
        <v>10791</v>
      </c>
      <c r="F229" s="94">
        <f t="shared" si="20"/>
        <v>39.24338294269673</v>
      </c>
      <c r="G229" s="93">
        <f t="shared" si="21"/>
        <v>163.22861643962563</v>
      </c>
    </row>
    <row r="230" spans="2:7" ht="12.75">
      <c r="B230" s="73" t="s">
        <v>51</v>
      </c>
      <c r="C230" s="92">
        <f>C188</f>
        <v>29110</v>
      </c>
      <c r="D230" s="92">
        <f>D188+D211</f>
        <v>29110</v>
      </c>
      <c r="E230" s="92">
        <f>E188</f>
        <v>25172</v>
      </c>
      <c r="F230" s="94">
        <f t="shared" si="20"/>
        <v>99.99999999999999</v>
      </c>
      <c r="G230" s="93">
        <f t="shared" si="21"/>
        <v>115.64436675671381</v>
      </c>
    </row>
    <row r="231" spans="2:7" ht="12.75">
      <c r="B231" s="73" t="s">
        <v>66</v>
      </c>
      <c r="C231" s="92">
        <f>C163+C211</f>
        <v>6500</v>
      </c>
      <c r="D231" s="92">
        <f>D163+D211</f>
        <v>3500</v>
      </c>
      <c r="E231" s="92">
        <f>E163+E211</f>
        <v>4000</v>
      </c>
      <c r="F231" s="94">
        <f t="shared" si="20"/>
        <v>53.84615384615385</v>
      </c>
      <c r="G231" s="93">
        <f t="shared" si="21"/>
        <v>87.5</v>
      </c>
    </row>
    <row r="232" spans="2:7" ht="12.75">
      <c r="B232" s="73" t="s">
        <v>151</v>
      </c>
      <c r="C232" s="92">
        <f>C219</f>
        <v>27691</v>
      </c>
      <c r="D232" s="92">
        <f>D219</f>
        <v>20266</v>
      </c>
      <c r="E232" s="92">
        <f>E219</f>
        <v>8900</v>
      </c>
      <c r="F232" s="94">
        <f>SUM(D232/C232%)</f>
        <v>73.18623379437362</v>
      </c>
      <c r="G232" s="93">
        <f t="shared" si="21"/>
        <v>227.7078651685393</v>
      </c>
    </row>
    <row r="233" spans="2:7" ht="12.75">
      <c r="B233" s="75" t="s">
        <v>136</v>
      </c>
      <c r="C233" s="92">
        <f>C212</f>
        <v>155837</v>
      </c>
      <c r="D233" s="92">
        <f>D212</f>
        <v>70910</v>
      </c>
      <c r="E233" s="92">
        <f>E212</f>
        <v>75825</v>
      </c>
      <c r="F233" s="94">
        <f>SUM(D233/C233%)</f>
        <v>45.50267266438651</v>
      </c>
      <c r="G233" s="93">
        <f t="shared" si="21"/>
        <v>93.51796900758325</v>
      </c>
    </row>
    <row r="234" spans="2:7" ht="12.75">
      <c r="B234" s="73" t="s">
        <v>27</v>
      </c>
      <c r="C234" s="92">
        <f>C162</f>
        <v>4000</v>
      </c>
      <c r="D234" s="92">
        <f>D162</f>
        <v>981</v>
      </c>
      <c r="E234" s="92">
        <f>E162</f>
        <v>2973</v>
      </c>
      <c r="F234" s="94">
        <f>SUM(D234/C234%)</f>
        <v>24.525</v>
      </c>
      <c r="G234" s="93">
        <f t="shared" si="21"/>
        <v>32.99697275479314</v>
      </c>
    </row>
    <row r="235" spans="2:7" ht="12.75">
      <c r="B235" s="73" t="s">
        <v>39</v>
      </c>
      <c r="C235" s="92">
        <f>C222</f>
        <v>7300</v>
      </c>
      <c r="D235" s="92">
        <f>D222</f>
        <v>2489</v>
      </c>
      <c r="E235" s="92">
        <f>E222</f>
        <v>828</v>
      </c>
      <c r="F235" s="94">
        <f>SUM(D235/C235%)</f>
        <v>34.0958904109589</v>
      </c>
      <c r="G235" s="93">
        <f t="shared" si="21"/>
        <v>300.6038647342995</v>
      </c>
    </row>
    <row r="236" spans="2:7" ht="12.75">
      <c r="B236" s="73" t="s">
        <v>150</v>
      </c>
      <c r="C236" s="92">
        <f>C164+C176+C182+C196+C213+C220+C169+C190</f>
        <v>2176865</v>
      </c>
      <c r="D236" s="92">
        <f>D164+D176+D182+D196+D213+D220+D169+D190</f>
        <v>682762</v>
      </c>
      <c r="E236" s="92">
        <f>E164+E176+E182+E196+E213+E220+E169+E190</f>
        <v>530818</v>
      </c>
      <c r="F236" s="94">
        <f>SUM(D236/C236%)</f>
        <v>31.364462196782988</v>
      </c>
      <c r="G236" s="93">
        <f t="shared" si="21"/>
        <v>128.6245002995377</v>
      </c>
    </row>
    <row r="237" spans="2:7" ht="12.75">
      <c r="B237" s="77"/>
      <c r="C237" s="77"/>
      <c r="D237" s="77"/>
      <c r="E237" s="77"/>
      <c r="F237" s="77"/>
      <c r="G237" s="77"/>
    </row>
    <row r="238" spans="2:7" ht="12.75">
      <c r="B238" s="77"/>
      <c r="C238" s="77"/>
      <c r="D238" s="77"/>
      <c r="E238" s="77"/>
      <c r="F238" s="77"/>
      <c r="G238" s="77"/>
    </row>
    <row r="239" spans="2:7" ht="12.75">
      <c r="B239" s="77"/>
      <c r="C239" s="77"/>
      <c r="D239" s="77"/>
      <c r="E239" s="77"/>
      <c r="F239" s="77"/>
      <c r="G239" s="77"/>
    </row>
    <row r="240" spans="2:7" ht="12.75">
      <c r="B240" s="77"/>
      <c r="C240" s="77"/>
      <c r="D240" s="77"/>
      <c r="E240" s="77"/>
      <c r="F240" s="77"/>
      <c r="G240" s="77"/>
    </row>
    <row r="241" spans="2:7" ht="12.75">
      <c r="B241" s="77"/>
      <c r="C241" s="77"/>
      <c r="D241" s="77"/>
      <c r="E241" s="77"/>
      <c r="F241" s="77"/>
      <c r="G241" s="77"/>
    </row>
    <row r="242" spans="2:7" ht="12.75">
      <c r="B242" s="77"/>
      <c r="C242" s="77"/>
      <c r="D242" s="77"/>
      <c r="E242" s="77"/>
      <c r="F242" s="77"/>
      <c r="G242" s="77"/>
    </row>
  </sheetData>
  <mergeCells count="9">
    <mergeCell ref="F201:G201"/>
    <mergeCell ref="B148:G148"/>
    <mergeCell ref="B150:G150"/>
    <mergeCell ref="F152:G152"/>
    <mergeCell ref="F101:G101"/>
    <mergeCell ref="F55:G55"/>
    <mergeCell ref="F6:G6"/>
    <mergeCell ref="B2:G2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P137"/>
  <sheetViews>
    <sheetView zoomScale="75" zoomScaleNormal="75" workbookViewId="0" topLeftCell="A28">
      <selection activeCell="C66" sqref="C66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10.140625" style="0" customWidth="1"/>
    <col min="4" max="4" width="11.421875" style="0" customWidth="1"/>
    <col min="5" max="5" width="9.57421875" style="0" customWidth="1"/>
    <col min="6" max="6" width="11.57421875" style="0" customWidth="1"/>
    <col min="7" max="7" width="10.28125" style="0" customWidth="1"/>
    <col min="8" max="8" width="10.140625" style="0" customWidth="1"/>
    <col min="9" max="10" width="11.7109375" style="0" customWidth="1"/>
    <col min="11" max="11" width="10.7109375" style="0" customWidth="1"/>
    <col min="12" max="12" width="10.57421875" style="0" customWidth="1"/>
    <col min="13" max="13" width="10.00390625" style="0" customWidth="1"/>
  </cols>
  <sheetData>
    <row r="2" ht="12.75">
      <c r="K2" t="s">
        <v>112</v>
      </c>
    </row>
    <row r="3" spans="2:13" ht="12.75">
      <c r="B3" s="163" t="s">
        <v>48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5" spans="2:13" ht="12.75">
      <c r="B5" s="163" t="s">
        <v>128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4" ht="12.75">
      <c r="B8" s="51" t="s">
        <v>107</v>
      </c>
      <c r="C8" s="51"/>
      <c r="D8" s="51"/>
    </row>
    <row r="9" spans="2:13" ht="12.75">
      <c r="B9" s="20"/>
      <c r="C9" s="49" t="s">
        <v>68</v>
      </c>
      <c r="D9" s="49" t="s">
        <v>74</v>
      </c>
      <c r="E9" s="49" t="s">
        <v>72</v>
      </c>
      <c r="F9" s="49" t="s">
        <v>75</v>
      </c>
      <c r="G9" s="49" t="s">
        <v>78</v>
      </c>
      <c r="H9" s="49" t="s">
        <v>74</v>
      </c>
      <c r="I9" s="49" t="s">
        <v>75</v>
      </c>
      <c r="J9" s="49" t="s">
        <v>117</v>
      </c>
      <c r="K9" s="49" t="s">
        <v>82</v>
      </c>
      <c r="L9" s="49" t="s">
        <v>105</v>
      </c>
      <c r="M9" s="49" t="s">
        <v>105</v>
      </c>
    </row>
    <row r="10" spans="2:13" ht="12.75">
      <c r="B10" s="6" t="s">
        <v>67</v>
      </c>
      <c r="C10" s="6" t="s">
        <v>69</v>
      </c>
      <c r="D10" s="6" t="s">
        <v>70</v>
      </c>
      <c r="E10" s="6" t="s">
        <v>124</v>
      </c>
      <c r="F10" s="6" t="s">
        <v>76</v>
      </c>
      <c r="G10" s="6" t="s">
        <v>80</v>
      </c>
      <c r="H10" s="6" t="s">
        <v>80</v>
      </c>
      <c r="I10" s="6" t="s">
        <v>76</v>
      </c>
      <c r="J10" s="6" t="s">
        <v>125</v>
      </c>
      <c r="K10" s="6" t="s">
        <v>76</v>
      </c>
      <c r="L10" s="6" t="s">
        <v>73</v>
      </c>
      <c r="M10" s="6" t="s">
        <v>78</v>
      </c>
    </row>
    <row r="11" spans="2:13" ht="12.75">
      <c r="B11" s="41"/>
      <c r="C11" s="50"/>
      <c r="D11" s="50" t="s">
        <v>71</v>
      </c>
      <c r="E11" s="50" t="s">
        <v>123</v>
      </c>
      <c r="F11" s="50" t="s">
        <v>77</v>
      </c>
      <c r="G11" s="50" t="s">
        <v>81</v>
      </c>
      <c r="H11" s="50" t="s">
        <v>81</v>
      </c>
      <c r="I11" s="50" t="s">
        <v>79</v>
      </c>
      <c r="J11" s="50" t="s">
        <v>119</v>
      </c>
      <c r="K11" s="50"/>
      <c r="L11" s="50" t="s">
        <v>106</v>
      </c>
      <c r="M11" s="50" t="s">
        <v>106</v>
      </c>
    </row>
    <row r="12" spans="2:13" ht="12.75">
      <c r="B12" s="13" t="s">
        <v>83</v>
      </c>
      <c r="C12" s="13">
        <v>2137.93</v>
      </c>
      <c r="D12" s="13">
        <v>19.13</v>
      </c>
      <c r="E12" s="13"/>
      <c r="F12" s="13">
        <f>C12-D12-E12</f>
        <v>2118.7999999999997</v>
      </c>
      <c r="G12" s="13">
        <v>1427.26</v>
      </c>
      <c r="H12" s="13">
        <v>79.52</v>
      </c>
      <c r="I12" s="13">
        <f>G12-H12</f>
        <v>1347.74</v>
      </c>
      <c r="J12" s="13">
        <f>D12+H12</f>
        <v>98.64999999999999</v>
      </c>
      <c r="K12" s="13">
        <f>F12+I12</f>
        <v>3466.54</v>
      </c>
      <c r="L12" s="14">
        <f>SUM(D12+E12)/C12%</f>
        <v>0.8947907555439141</v>
      </c>
      <c r="M12" s="14">
        <f>SUM(H12/G12%)</f>
        <v>5.571514650449112</v>
      </c>
    </row>
    <row r="13" spans="2:13" ht="12.75">
      <c r="B13" s="13" t="s">
        <v>84</v>
      </c>
      <c r="C13" s="13">
        <v>1630.12</v>
      </c>
      <c r="D13" s="13">
        <v>17.02</v>
      </c>
      <c r="E13" s="13"/>
      <c r="F13" s="13">
        <f>C13-D13-E13</f>
        <v>1613.1</v>
      </c>
      <c r="G13" s="13">
        <v>557.09</v>
      </c>
      <c r="H13" s="14">
        <v>26.44</v>
      </c>
      <c r="I13" s="13">
        <f aca="true" t="shared" si="0" ref="I13:I33">G13-H13</f>
        <v>530.65</v>
      </c>
      <c r="J13" s="13">
        <f aca="true" t="shared" si="1" ref="J13:J33">D13+H13</f>
        <v>43.46</v>
      </c>
      <c r="K13" s="13">
        <f aca="true" t="shared" si="2" ref="K13:K33">F13+I13</f>
        <v>2143.75</v>
      </c>
      <c r="L13" s="14">
        <f aca="true" t="shared" si="3" ref="L13:L34">SUM(D13+E13)/C13%</f>
        <v>1.0440949132579198</v>
      </c>
      <c r="M13" s="14">
        <f aca="true" t="shared" si="4" ref="M13:M34">SUM(H13/G13%)</f>
        <v>4.746091295840888</v>
      </c>
    </row>
    <row r="14" spans="2:13" ht="12.75">
      <c r="B14" s="13" t="s">
        <v>85</v>
      </c>
      <c r="C14" s="13">
        <v>1730.05</v>
      </c>
      <c r="D14" s="13">
        <v>19.61</v>
      </c>
      <c r="E14" s="13"/>
      <c r="F14" s="13">
        <f>C14-D14-E14</f>
        <v>1710.44</v>
      </c>
      <c r="G14" s="13">
        <v>918.54</v>
      </c>
      <c r="H14" s="13">
        <v>103.91</v>
      </c>
      <c r="I14" s="13">
        <f t="shared" si="0"/>
        <v>814.63</v>
      </c>
      <c r="J14" s="13">
        <f t="shared" si="1"/>
        <v>123.52</v>
      </c>
      <c r="K14" s="13">
        <f t="shared" si="2"/>
        <v>2525.07</v>
      </c>
      <c r="L14" s="14">
        <f t="shared" si="3"/>
        <v>1.133493251640126</v>
      </c>
      <c r="M14" s="14">
        <f t="shared" si="4"/>
        <v>11.312517691118515</v>
      </c>
    </row>
    <row r="15" spans="2:13" ht="12.75">
      <c r="B15" s="13" t="s">
        <v>86</v>
      </c>
      <c r="C15" s="13">
        <v>2405.44</v>
      </c>
      <c r="D15" s="14">
        <v>22.55</v>
      </c>
      <c r="E15" s="13"/>
      <c r="F15" s="13">
        <f aca="true" t="shared" si="5" ref="F15:F33">C15-D15-E15</f>
        <v>2382.89</v>
      </c>
      <c r="G15" s="13">
        <v>1525.32</v>
      </c>
      <c r="H15" s="13">
        <v>193.09</v>
      </c>
      <c r="I15" s="13">
        <f t="shared" si="0"/>
        <v>1332.23</v>
      </c>
      <c r="J15" s="13">
        <f t="shared" si="1"/>
        <v>215.64000000000001</v>
      </c>
      <c r="K15" s="13">
        <f t="shared" si="2"/>
        <v>3715.12</v>
      </c>
      <c r="L15" s="14">
        <f t="shared" si="3"/>
        <v>0.9374584275641878</v>
      </c>
      <c r="M15" s="14">
        <f t="shared" si="4"/>
        <v>12.658983033068472</v>
      </c>
    </row>
    <row r="16" spans="2:13" ht="12.75">
      <c r="B16" s="13" t="s">
        <v>87</v>
      </c>
      <c r="C16" s="13">
        <v>2356.43</v>
      </c>
      <c r="D16" s="14">
        <v>29.27</v>
      </c>
      <c r="E16" s="13"/>
      <c r="F16" s="13">
        <f t="shared" si="5"/>
        <v>2327.16</v>
      </c>
      <c r="G16" s="13">
        <v>3353.34</v>
      </c>
      <c r="H16" s="13">
        <v>357.95</v>
      </c>
      <c r="I16" s="13">
        <f t="shared" si="0"/>
        <v>2995.3900000000003</v>
      </c>
      <c r="J16" s="13">
        <f t="shared" si="1"/>
        <v>387.21999999999997</v>
      </c>
      <c r="K16" s="13">
        <f t="shared" si="2"/>
        <v>5322.55</v>
      </c>
      <c r="L16" s="14">
        <f t="shared" si="3"/>
        <v>1.2421332269577285</v>
      </c>
      <c r="M16" s="14">
        <f t="shared" si="4"/>
        <v>10.674432058783182</v>
      </c>
    </row>
    <row r="17" spans="2:13" ht="12.75">
      <c r="B17" s="13" t="s">
        <v>88</v>
      </c>
      <c r="C17" s="13">
        <v>1582.88</v>
      </c>
      <c r="D17" s="13">
        <v>14.44</v>
      </c>
      <c r="E17" s="13"/>
      <c r="F17" s="13">
        <f t="shared" si="5"/>
        <v>1568.44</v>
      </c>
      <c r="G17" s="13">
        <v>801.65</v>
      </c>
      <c r="H17" s="13">
        <v>205.25</v>
      </c>
      <c r="I17" s="13">
        <f t="shared" si="0"/>
        <v>596.4</v>
      </c>
      <c r="J17" s="13">
        <f t="shared" si="1"/>
        <v>219.69</v>
      </c>
      <c r="K17" s="13">
        <f t="shared" si="2"/>
        <v>2164.84</v>
      </c>
      <c r="L17" s="14">
        <f t="shared" si="3"/>
        <v>0.9122611947841908</v>
      </c>
      <c r="M17" s="14">
        <f t="shared" si="4"/>
        <v>25.603442899020767</v>
      </c>
    </row>
    <row r="18" spans="2:13" ht="12.75">
      <c r="B18" s="13" t="s">
        <v>89</v>
      </c>
      <c r="C18" s="13">
        <v>447.18</v>
      </c>
      <c r="D18" s="13">
        <v>0.17</v>
      </c>
      <c r="E18" s="13"/>
      <c r="F18" s="13">
        <f t="shared" si="5"/>
        <v>447.01</v>
      </c>
      <c r="G18" s="13">
        <v>448.97</v>
      </c>
      <c r="H18" s="13">
        <v>55.88</v>
      </c>
      <c r="I18" s="13">
        <f t="shared" si="0"/>
        <v>393.09000000000003</v>
      </c>
      <c r="J18" s="13">
        <f t="shared" si="1"/>
        <v>56.050000000000004</v>
      </c>
      <c r="K18" s="13">
        <f t="shared" si="2"/>
        <v>840.1</v>
      </c>
      <c r="L18" s="14">
        <f t="shared" si="3"/>
        <v>0.03801601144952816</v>
      </c>
      <c r="M18" s="14">
        <f t="shared" si="4"/>
        <v>12.44626589749872</v>
      </c>
    </row>
    <row r="19" spans="2:13" ht="12.75">
      <c r="B19" s="13" t="s">
        <v>90</v>
      </c>
      <c r="C19" s="13">
        <v>1770.37</v>
      </c>
      <c r="D19" s="13">
        <v>22.67</v>
      </c>
      <c r="E19" s="13"/>
      <c r="F19" s="13">
        <f t="shared" si="5"/>
        <v>1747.6999999999998</v>
      </c>
      <c r="G19" s="13">
        <v>1195.16</v>
      </c>
      <c r="H19" s="13">
        <v>128.51</v>
      </c>
      <c r="I19" s="13">
        <f t="shared" si="0"/>
        <v>1066.65</v>
      </c>
      <c r="J19" s="13">
        <f t="shared" si="1"/>
        <v>151.18</v>
      </c>
      <c r="K19" s="13">
        <f t="shared" si="2"/>
        <v>2814.35</v>
      </c>
      <c r="L19" s="14">
        <f t="shared" si="3"/>
        <v>1.2805232804442013</v>
      </c>
      <c r="M19" s="14">
        <f t="shared" si="4"/>
        <v>10.752535225409149</v>
      </c>
    </row>
    <row r="20" spans="2:13" ht="12.75">
      <c r="B20" s="13" t="s">
        <v>91</v>
      </c>
      <c r="C20" s="13">
        <v>271.57</v>
      </c>
      <c r="D20" s="13">
        <v>0.77</v>
      </c>
      <c r="E20" s="13"/>
      <c r="F20" s="13">
        <f t="shared" si="5"/>
        <v>270.8</v>
      </c>
      <c r="G20" s="13">
        <v>191.14</v>
      </c>
      <c r="H20" s="13">
        <v>26.65</v>
      </c>
      <c r="I20" s="13">
        <f t="shared" si="0"/>
        <v>164.48999999999998</v>
      </c>
      <c r="J20" s="13">
        <f t="shared" si="1"/>
        <v>27.419999999999998</v>
      </c>
      <c r="K20" s="13">
        <f t="shared" si="2"/>
        <v>435.28999999999996</v>
      </c>
      <c r="L20" s="14">
        <f t="shared" si="3"/>
        <v>0.283536473100858</v>
      </c>
      <c r="M20" s="14">
        <f t="shared" si="4"/>
        <v>13.94265983049074</v>
      </c>
    </row>
    <row r="21" spans="2:13" ht="12.75">
      <c r="B21" s="13" t="s">
        <v>92</v>
      </c>
      <c r="C21" s="13">
        <v>933.57</v>
      </c>
      <c r="D21" s="13">
        <v>3.46</v>
      </c>
      <c r="E21" s="13"/>
      <c r="F21" s="13">
        <f t="shared" si="5"/>
        <v>930.11</v>
      </c>
      <c r="G21" s="13">
        <v>471.91</v>
      </c>
      <c r="H21" s="13">
        <v>28.62</v>
      </c>
      <c r="I21" s="13">
        <f t="shared" si="0"/>
        <v>443.29</v>
      </c>
      <c r="J21" s="13">
        <f t="shared" si="1"/>
        <v>32.08</v>
      </c>
      <c r="K21" s="13">
        <f t="shared" si="2"/>
        <v>1373.4</v>
      </c>
      <c r="L21" s="14">
        <f t="shared" si="3"/>
        <v>0.3706203069935837</v>
      </c>
      <c r="M21" s="14">
        <f t="shared" si="4"/>
        <v>6.064715729694221</v>
      </c>
    </row>
    <row r="22" spans="2:13" ht="12.75">
      <c r="B22" s="13" t="s">
        <v>93</v>
      </c>
      <c r="C22" s="13">
        <v>5283.69</v>
      </c>
      <c r="D22" s="13">
        <v>28.18</v>
      </c>
      <c r="E22" s="13"/>
      <c r="F22" s="13">
        <f>C22-D22-E22</f>
        <v>5255.509999999999</v>
      </c>
      <c r="G22" s="13">
        <v>4393.58</v>
      </c>
      <c r="H22" s="13">
        <v>580.38</v>
      </c>
      <c r="I22" s="14">
        <f t="shared" si="0"/>
        <v>3813.2</v>
      </c>
      <c r="J22" s="13">
        <f t="shared" si="1"/>
        <v>608.56</v>
      </c>
      <c r="K22" s="13">
        <f t="shared" si="2"/>
        <v>9068.71</v>
      </c>
      <c r="L22" s="14">
        <f t="shared" si="3"/>
        <v>0.5333393897068148</v>
      </c>
      <c r="M22" s="14">
        <f t="shared" si="4"/>
        <v>13.20972874057147</v>
      </c>
    </row>
    <row r="23" spans="2:13" ht="12.75">
      <c r="B23" s="13" t="s">
        <v>94</v>
      </c>
      <c r="C23" s="13">
        <v>5347.06</v>
      </c>
      <c r="D23" s="13">
        <v>15.63</v>
      </c>
      <c r="E23" s="13">
        <v>0.03</v>
      </c>
      <c r="F23" s="13">
        <f t="shared" si="5"/>
        <v>5331.400000000001</v>
      </c>
      <c r="G23" s="13">
        <v>4006.78</v>
      </c>
      <c r="H23" s="13">
        <v>185.39</v>
      </c>
      <c r="I23" s="14">
        <f t="shared" si="0"/>
        <v>3821.3900000000003</v>
      </c>
      <c r="J23" s="13">
        <f t="shared" si="1"/>
        <v>201.01999999999998</v>
      </c>
      <c r="K23" s="13">
        <f t="shared" si="2"/>
        <v>9152.79</v>
      </c>
      <c r="L23" s="14">
        <f t="shared" si="3"/>
        <v>0.29287122269060006</v>
      </c>
      <c r="M23" s="14">
        <f t="shared" si="4"/>
        <v>4.626907391970609</v>
      </c>
    </row>
    <row r="24" spans="2:13" ht="12.75">
      <c r="B24" s="13" t="s">
        <v>95</v>
      </c>
      <c r="C24" s="13">
        <v>2495.92</v>
      </c>
      <c r="D24" s="13">
        <v>25.02</v>
      </c>
      <c r="E24" s="13"/>
      <c r="F24" s="13">
        <f t="shared" si="5"/>
        <v>2470.9</v>
      </c>
      <c r="G24" s="13">
        <v>1917.99</v>
      </c>
      <c r="H24" s="13">
        <v>100.72</v>
      </c>
      <c r="I24" s="14">
        <f t="shared" si="0"/>
        <v>1817.27</v>
      </c>
      <c r="J24" s="13">
        <f t="shared" si="1"/>
        <v>125.74</v>
      </c>
      <c r="K24" s="13">
        <f t="shared" si="2"/>
        <v>4288.17</v>
      </c>
      <c r="L24" s="14">
        <f t="shared" si="3"/>
        <v>1.0024359755120356</v>
      </c>
      <c r="M24" s="14">
        <f t="shared" si="4"/>
        <v>5.25133082028582</v>
      </c>
    </row>
    <row r="25" spans="2:13" ht="12.75">
      <c r="B25" s="13" t="s">
        <v>96</v>
      </c>
      <c r="C25" s="13">
        <v>250.54</v>
      </c>
      <c r="D25" s="13">
        <v>2.75</v>
      </c>
      <c r="E25" s="13"/>
      <c r="F25" s="13">
        <f t="shared" si="5"/>
        <v>247.79</v>
      </c>
      <c r="G25" s="13">
        <v>163.57</v>
      </c>
      <c r="H25" s="13">
        <v>34.38</v>
      </c>
      <c r="I25" s="13">
        <f t="shared" si="0"/>
        <v>129.19</v>
      </c>
      <c r="J25" s="13">
        <f t="shared" si="1"/>
        <v>37.13</v>
      </c>
      <c r="K25" s="13">
        <f t="shared" si="2"/>
        <v>376.98</v>
      </c>
      <c r="L25" s="14">
        <f t="shared" si="3"/>
        <v>1.0976291210984275</v>
      </c>
      <c r="M25" s="14">
        <f t="shared" si="4"/>
        <v>21.018524179250477</v>
      </c>
    </row>
    <row r="26" spans="2:13" ht="12.75">
      <c r="B26" s="13" t="s">
        <v>97</v>
      </c>
      <c r="C26" s="13">
        <v>1109.66</v>
      </c>
      <c r="D26" s="13">
        <v>9.51</v>
      </c>
      <c r="E26" s="13"/>
      <c r="F26" s="13">
        <f t="shared" si="5"/>
        <v>1100.15</v>
      </c>
      <c r="G26" s="14">
        <v>277.4</v>
      </c>
      <c r="H26" s="13">
        <v>59.7</v>
      </c>
      <c r="I26" s="13">
        <f t="shared" si="0"/>
        <v>217.7</v>
      </c>
      <c r="J26" s="13">
        <f t="shared" si="1"/>
        <v>69.21000000000001</v>
      </c>
      <c r="K26" s="13">
        <f t="shared" si="2"/>
        <v>1317.8500000000001</v>
      </c>
      <c r="L26" s="14">
        <f t="shared" si="3"/>
        <v>0.8570192671629148</v>
      </c>
      <c r="M26" s="14">
        <f t="shared" si="4"/>
        <v>21.521268925739008</v>
      </c>
    </row>
    <row r="27" spans="2:13" ht="12.75">
      <c r="B27" s="13" t="s">
        <v>98</v>
      </c>
      <c r="C27" s="13">
        <v>1048.57</v>
      </c>
      <c r="D27" s="13">
        <v>14.06</v>
      </c>
      <c r="E27" s="13"/>
      <c r="F27" s="13">
        <f t="shared" si="5"/>
        <v>1034.51</v>
      </c>
      <c r="G27" s="13">
        <v>643.03</v>
      </c>
      <c r="H27" s="13">
        <v>13.51</v>
      </c>
      <c r="I27" s="13">
        <f t="shared" si="0"/>
        <v>629.52</v>
      </c>
      <c r="J27" s="13">
        <f t="shared" si="1"/>
        <v>27.57</v>
      </c>
      <c r="K27" s="13">
        <f t="shared" si="2"/>
        <v>1664.03</v>
      </c>
      <c r="L27" s="14">
        <f t="shared" si="3"/>
        <v>1.3408737614083943</v>
      </c>
      <c r="M27" s="14">
        <f t="shared" si="4"/>
        <v>2.1009906225214996</v>
      </c>
    </row>
    <row r="28" spans="2:13" ht="12.75">
      <c r="B28" s="13" t="s">
        <v>99</v>
      </c>
      <c r="C28" s="13">
        <v>2269.16</v>
      </c>
      <c r="D28" s="13">
        <v>22.15</v>
      </c>
      <c r="E28" s="13"/>
      <c r="F28" s="13">
        <f t="shared" si="5"/>
        <v>2247.0099999999998</v>
      </c>
      <c r="G28" s="13">
        <v>1378.38</v>
      </c>
      <c r="H28" s="13">
        <v>51.38</v>
      </c>
      <c r="I28" s="13">
        <f t="shared" si="0"/>
        <v>1327</v>
      </c>
      <c r="J28" s="13">
        <f t="shared" si="1"/>
        <v>73.53</v>
      </c>
      <c r="K28" s="13">
        <f t="shared" si="2"/>
        <v>3574.0099999999998</v>
      </c>
      <c r="L28" s="14">
        <f t="shared" si="3"/>
        <v>0.9761321370022388</v>
      </c>
      <c r="M28" s="14">
        <f t="shared" si="4"/>
        <v>3.7275642420812836</v>
      </c>
    </row>
    <row r="29" spans="2:13" ht="12.75">
      <c r="B29" s="13" t="s">
        <v>100</v>
      </c>
      <c r="C29" s="14">
        <v>1450.62</v>
      </c>
      <c r="D29" s="13">
        <v>11.32</v>
      </c>
      <c r="E29" s="13">
        <v>0.2</v>
      </c>
      <c r="F29" s="13">
        <f t="shared" si="5"/>
        <v>1439.1</v>
      </c>
      <c r="G29" s="13">
        <v>549.48</v>
      </c>
      <c r="H29" s="13">
        <v>16.69</v>
      </c>
      <c r="I29" s="13">
        <f t="shared" si="0"/>
        <v>532.79</v>
      </c>
      <c r="J29" s="13">
        <f t="shared" si="1"/>
        <v>28.01</v>
      </c>
      <c r="K29" s="13">
        <f t="shared" si="2"/>
        <v>1971.8899999999999</v>
      </c>
      <c r="L29" s="14">
        <f t="shared" si="3"/>
        <v>0.7941431939446582</v>
      </c>
      <c r="M29" s="14">
        <f t="shared" si="4"/>
        <v>3.037417194438378</v>
      </c>
    </row>
    <row r="30" spans="2:13" ht="12.75">
      <c r="B30" s="13" t="s">
        <v>101</v>
      </c>
      <c r="C30" s="13">
        <v>30468.64</v>
      </c>
      <c r="D30" s="13">
        <v>87.66</v>
      </c>
      <c r="E30" s="13">
        <v>1.95</v>
      </c>
      <c r="F30" s="13">
        <f t="shared" si="5"/>
        <v>30379.03</v>
      </c>
      <c r="G30" s="13">
        <v>13656.48</v>
      </c>
      <c r="H30" s="13">
        <v>2390.97</v>
      </c>
      <c r="I30" s="14">
        <f t="shared" si="0"/>
        <v>11265.51</v>
      </c>
      <c r="J30" s="13">
        <f t="shared" si="1"/>
        <v>2478.6299999999997</v>
      </c>
      <c r="K30" s="13">
        <f t="shared" si="2"/>
        <v>41644.54</v>
      </c>
      <c r="L30" s="14">
        <f t="shared" si="3"/>
        <v>0.29410567718152175</v>
      </c>
      <c r="M30" s="14">
        <f t="shared" si="4"/>
        <v>17.507952268813046</v>
      </c>
    </row>
    <row r="31" spans="2:13" ht="12.75">
      <c r="B31" s="13" t="s">
        <v>102</v>
      </c>
      <c r="C31" s="14">
        <v>6204.43</v>
      </c>
      <c r="D31" s="13">
        <v>63.16</v>
      </c>
      <c r="E31" s="14"/>
      <c r="F31" s="13">
        <f t="shared" si="5"/>
        <v>6141.27</v>
      </c>
      <c r="G31" s="13">
        <v>4551.4</v>
      </c>
      <c r="H31" s="13">
        <v>221.34</v>
      </c>
      <c r="I31" s="14">
        <f t="shared" si="0"/>
        <v>4330.0599999999995</v>
      </c>
      <c r="J31" s="13">
        <f t="shared" si="1"/>
        <v>284.5</v>
      </c>
      <c r="K31" s="13">
        <f t="shared" si="2"/>
        <v>10471.33</v>
      </c>
      <c r="L31" s="14">
        <f t="shared" si="3"/>
        <v>1.0179823126379055</v>
      </c>
      <c r="M31" s="14">
        <f t="shared" si="4"/>
        <v>4.863119040295294</v>
      </c>
    </row>
    <row r="32" spans="2:13" ht="12.75">
      <c r="B32" s="13" t="s">
        <v>103</v>
      </c>
      <c r="C32" s="13">
        <v>531.62</v>
      </c>
      <c r="D32" s="13">
        <v>4.14</v>
      </c>
      <c r="E32" s="13"/>
      <c r="F32" s="13">
        <f t="shared" si="5"/>
        <v>527.48</v>
      </c>
      <c r="G32" s="13">
        <v>348.9</v>
      </c>
      <c r="H32" s="13">
        <v>8.6</v>
      </c>
      <c r="I32" s="13">
        <f t="shared" si="0"/>
        <v>340.29999999999995</v>
      </c>
      <c r="J32" s="13">
        <f t="shared" si="1"/>
        <v>12.739999999999998</v>
      </c>
      <c r="K32" s="13">
        <f t="shared" si="2"/>
        <v>867.78</v>
      </c>
      <c r="L32" s="14">
        <f t="shared" si="3"/>
        <v>0.7787517399646363</v>
      </c>
      <c r="M32" s="14">
        <f t="shared" si="4"/>
        <v>2.4648896531957583</v>
      </c>
    </row>
    <row r="33" spans="2:13" ht="12.75">
      <c r="B33" s="13" t="s">
        <v>104</v>
      </c>
      <c r="C33" s="13">
        <v>2652.02</v>
      </c>
      <c r="D33" s="13">
        <v>34.85</v>
      </c>
      <c r="E33" s="13">
        <v>0.58</v>
      </c>
      <c r="F33" s="13">
        <f t="shared" si="5"/>
        <v>2616.59</v>
      </c>
      <c r="G33" s="13">
        <v>2137.94</v>
      </c>
      <c r="H33" s="13">
        <v>177.45</v>
      </c>
      <c r="I33" s="13">
        <f t="shared" si="0"/>
        <v>1960.49</v>
      </c>
      <c r="J33" s="13">
        <f t="shared" si="1"/>
        <v>212.29999999999998</v>
      </c>
      <c r="K33" s="13">
        <f t="shared" si="2"/>
        <v>4577.08</v>
      </c>
      <c r="L33" s="14">
        <f t="shared" si="3"/>
        <v>1.3359627755446792</v>
      </c>
      <c r="M33" s="14">
        <f t="shared" si="4"/>
        <v>8.30004583851745</v>
      </c>
    </row>
    <row r="34" spans="2:13" ht="12.75">
      <c r="B34" s="13" t="s">
        <v>121</v>
      </c>
      <c r="C34" s="13">
        <f aca="true" t="shared" si="6" ref="C34:K34">SUM(C12:C33)</f>
        <v>74377.47</v>
      </c>
      <c r="D34" s="13">
        <f t="shared" si="6"/>
        <v>467.52</v>
      </c>
      <c r="E34" s="13">
        <f t="shared" si="6"/>
        <v>2.7600000000000002</v>
      </c>
      <c r="F34" s="13">
        <f t="shared" si="6"/>
        <v>73907.18999999999</v>
      </c>
      <c r="G34" s="13">
        <f t="shared" si="6"/>
        <v>44915.310000000005</v>
      </c>
      <c r="H34" s="13">
        <f t="shared" si="6"/>
        <v>5046.330000000001</v>
      </c>
      <c r="I34" s="13">
        <f t="shared" si="6"/>
        <v>39868.98</v>
      </c>
      <c r="J34" s="13">
        <f>SUM(J12:J33)</f>
        <v>5513.849999999999</v>
      </c>
      <c r="K34" s="13">
        <f t="shared" si="6"/>
        <v>113776.17000000001</v>
      </c>
      <c r="L34" s="14">
        <f t="shared" si="3"/>
        <v>0.6322882453517173</v>
      </c>
      <c r="M34" s="14">
        <f t="shared" si="4"/>
        <v>11.235211334398004</v>
      </c>
    </row>
    <row r="39" spans="2:4" ht="12.75">
      <c r="B39" s="51" t="s">
        <v>110</v>
      </c>
      <c r="C39" s="51"/>
      <c r="D39" s="51"/>
    </row>
    <row r="40" spans="2:13" ht="12.75">
      <c r="B40" s="20"/>
      <c r="C40" s="49" t="s">
        <v>68</v>
      </c>
      <c r="D40" s="49" t="s">
        <v>74</v>
      </c>
      <c r="E40" s="49" t="s">
        <v>72</v>
      </c>
      <c r="F40" s="49" t="s">
        <v>75</v>
      </c>
      <c r="G40" s="49" t="s">
        <v>78</v>
      </c>
      <c r="H40" s="49" t="s">
        <v>74</v>
      </c>
      <c r="I40" s="49" t="s">
        <v>75</v>
      </c>
      <c r="J40" s="49" t="s">
        <v>117</v>
      </c>
      <c r="K40" s="49" t="s">
        <v>82</v>
      </c>
      <c r="L40" s="49" t="s">
        <v>105</v>
      </c>
      <c r="M40" s="49" t="s">
        <v>105</v>
      </c>
    </row>
    <row r="41" spans="2:13" ht="12.75">
      <c r="B41" s="6" t="s">
        <v>67</v>
      </c>
      <c r="C41" s="6" t="s">
        <v>69</v>
      </c>
      <c r="D41" s="6" t="s">
        <v>70</v>
      </c>
      <c r="E41" s="6" t="s">
        <v>124</v>
      </c>
      <c r="F41" s="6" t="s">
        <v>76</v>
      </c>
      <c r="G41" s="6" t="s">
        <v>80</v>
      </c>
      <c r="H41" s="6" t="s">
        <v>80</v>
      </c>
      <c r="I41" s="6" t="s">
        <v>76</v>
      </c>
      <c r="J41" s="6" t="s">
        <v>118</v>
      </c>
      <c r="K41" s="6" t="s">
        <v>76</v>
      </c>
      <c r="L41" s="6" t="s">
        <v>73</v>
      </c>
      <c r="M41" s="6" t="s">
        <v>78</v>
      </c>
    </row>
    <row r="42" spans="2:13" ht="12.75">
      <c r="B42" s="41"/>
      <c r="C42" s="50"/>
      <c r="D42" s="50" t="s">
        <v>71</v>
      </c>
      <c r="E42" s="50" t="s">
        <v>123</v>
      </c>
      <c r="F42" s="50" t="s">
        <v>77</v>
      </c>
      <c r="G42" s="50" t="s">
        <v>81</v>
      </c>
      <c r="H42" s="50" t="s">
        <v>81</v>
      </c>
      <c r="I42" s="50" t="s">
        <v>79</v>
      </c>
      <c r="J42" s="50" t="s">
        <v>119</v>
      </c>
      <c r="K42" s="50"/>
      <c r="L42" s="50" t="s">
        <v>106</v>
      </c>
      <c r="M42" s="50" t="s">
        <v>106</v>
      </c>
    </row>
    <row r="43" spans="2:13" ht="12.75">
      <c r="B43" s="13" t="s">
        <v>83</v>
      </c>
      <c r="C43" s="13">
        <v>56.05</v>
      </c>
      <c r="D43" s="14"/>
      <c r="E43" s="13"/>
      <c r="F43" s="13">
        <f aca="true" t="shared" si="7" ref="F43:F64">C43-D43-E43</f>
        <v>56.05</v>
      </c>
      <c r="G43" s="13">
        <v>26.55</v>
      </c>
      <c r="H43" s="13"/>
      <c r="I43" s="13">
        <f aca="true" t="shared" si="8" ref="I43:I64">G43-H43</f>
        <v>26.55</v>
      </c>
      <c r="J43" s="13">
        <f aca="true" t="shared" si="9" ref="J43:J66">D43+H43</f>
        <v>0</v>
      </c>
      <c r="K43" s="13">
        <f aca="true" t="shared" si="10" ref="K43:K64">F43+I43</f>
        <v>82.6</v>
      </c>
      <c r="L43" s="14">
        <f aca="true" t="shared" si="11" ref="L43:L66">SUM(D43+E43)/C43%</f>
        <v>0</v>
      </c>
      <c r="M43" s="14">
        <f aca="true" t="shared" si="12" ref="M43:M66">SUM(H43/G43%)</f>
        <v>0</v>
      </c>
    </row>
    <row r="44" spans="2:13" ht="12.75">
      <c r="B44" s="13" t="s">
        <v>84</v>
      </c>
      <c r="C44" s="13">
        <v>47.68</v>
      </c>
      <c r="D44" s="13"/>
      <c r="E44" s="13"/>
      <c r="F44" s="13">
        <f t="shared" si="7"/>
        <v>47.68</v>
      </c>
      <c r="G44" s="13">
        <v>54.94</v>
      </c>
      <c r="H44" s="13"/>
      <c r="I44" s="13">
        <f t="shared" si="8"/>
        <v>54.94</v>
      </c>
      <c r="J44" s="13">
        <f t="shared" si="9"/>
        <v>0</v>
      </c>
      <c r="K44" s="13">
        <f t="shared" si="10"/>
        <v>102.62</v>
      </c>
      <c r="L44" s="14">
        <f t="shared" si="11"/>
        <v>0</v>
      </c>
      <c r="M44" s="14">
        <f t="shared" si="12"/>
        <v>0</v>
      </c>
    </row>
    <row r="45" spans="2:13" ht="12.75">
      <c r="B45" s="13" t="s">
        <v>85</v>
      </c>
      <c r="C45" s="13">
        <v>94.11</v>
      </c>
      <c r="D45" s="13"/>
      <c r="E45" s="13"/>
      <c r="F45" s="13">
        <f t="shared" si="7"/>
        <v>94.11</v>
      </c>
      <c r="G45" s="13"/>
      <c r="H45" s="13"/>
      <c r="I45" s="13">
        <f t="shared" si="8"/>
        <v>0</v>
      </c>
      <c r="J45" s="13">
        <f t="shared" si="9"/>
        <v>0</v>
      </c>
      <c r="K45" s="13">
        <f t="shared" si="10"/>
        <v>94.11</v>
      </c>
      <c r="L45" s="14">
        <f t="shared" si="11"/>
        <v>0</v>
      </c>
      <c r="M45" s="14" t="e">
        <f t="shared" si="12"/>
        <v>#DIV/0!</v>
      </c>
    </row>
    <row r="46" spans="2:13" ht="12.75">
      <c r="B46" s="13" t="s">
        <v>86</v>
      </c>
      <c r="C46" s="13">
        <v>84.95</v>
      </c>
      <c r="D46" s="13"/>
      <c r="E46" s="13"/>
      <c r="F46" s="13">
        <f t="shared" si="7"/>
        <v>84.95</v>
      </c>
      <c r="G46" s="13">
        <v>35.41</v>
      </c>
      <c r="H46" s="13"/>
      <c r="I46" s="13">
        <f t="shared" si="8"/>
        <v>35.41</v>
      </c>
      <c r="J46" s="13">
        <f t="shared" si="9"/>
        <v>0</v>
      </c>
      <c r="K46" s="13">
        <f t="shared" si="10"/>
        <v>120.36</v>
      </c>
      <c r="L46" s="14">
        <f t="shared" si="11"/>
        <v>0</v>
      </c>
      <c r="M46" s="14">
        <f t="shared" si="12"/>
        <v>0</v>
      </c>
    </row>
    <row r="47" spans="2:13" ht="12.75">
      <c r="B47" s="13" t="s">
        <v>87</v>
      </c>
      <c r="C47" s="13">
        <v>199.04</v>
      </c>
      <c r="D47" s="13"/>
      <c r="E47" s="13"/>
      <c r="F47" s="13">
        <f t="shared" si="7"/>
        <v>199.04</v>
      </c>
      <c r="G47" s="13">
        <v>60.7</v>
      </c>
      <c r="H47" s="13">
        <v>8.56</v>
      </c>
      <c r="I47" s="13">
        <f t="shared" si="8"/>
        <v>52.14</v>
      </c>
      <c r="J47" s="13">
        <f t="shared" si="9"/>
        <v>8.56</v>
      </c>
      <c r="K47" s="13">
        <f t="shared" si="10"/>
        <v>251.18</v>
      </c>
      <c r="L47" s="14">
        <f t="shared" si="11"/>
        <v>0</v>
      </c>
      <c r="M47" s="14">
        <f t="shared" si="12"/>
        <v>14.102141680395388</v>
      </c>
    </row>
    <row r="48" spans="2:13" ht="12.75">
      <c r="B48" s="13" t="s">
        <v>88</v>
      </c>
      <c r="C48" s="14">
        <v>110.47</v>
      </c>
      <c r="D48" s="13"/>
      <c r="E48" s="13"/>
      <c r="F48" s="13">
        <f t="shared" si="7"/>
        <v>110.47</v>
      </c>
      <c r="G48" s="13">
        <v>43.41</v>
      </c>
      <c r="H48" s="13"/>
      <c r="I48" s="13">
        <f t="shared" si="8"/>
        <v>43.41</v>
      </c>
      <c r="J48" s="13">
        <f t="shared" si="9"/>
        <v>0</v>
      </c>
      <c r="K48" s="13">
        <f t="shared" si="10"/>
        <v>153.88</v>
      </c>
      <c r="L48" s="14">
        <f t="shared" si="11"/>
        <v>0</v>
      </c>
      <c r="M48" s="14">
        <f t="shared" si="12"/>
        <v>0</v>
      </c>
    </row>
    <row r="49" spans="2:13" ht="12.75">
      <c r="B49" s="13" t="s">
        <v>89</v>
      </c>
      <c r="C49" s="13">
        <v>29.62</v>
      </c>
      <c r="D49" s="13"/>
      <c r="E49" s="13"/>
      <c r="F49" s="13">
        <f t="shared" si="7"/>
        <v>29.62</v>
      </c>
      <c r="G49" s="13">
        <v>0.87</v>
      </c>
      <c r="H49" s="13"/>
      <c r="I49" s="13">
        <f t="shared" si="8"/>
        <v>0.87</v>
      </c>
      <c r="J49" s="13">
        <f t="shared" si="9"/>
        <v>0</v>
      </c>
      <c r="K49" s="13">
        <f t="shared" si="10"/>
        <v>30.490000000000002</v>
      </c>
      <c r="L49" s="14">
        <f t="shared" si="11"/>
        <v>0</v>
      </c>
      <c r="M49" s="14">
        <f t="shared" si="12"/>
        <v>0</v>
      </c>
    </row>
    <row r="50" spans="2:13" ht="12.75">
      <c r="B50" s="13" t="s">
        <v>90</v>
      </c>
      <c r="C50" s="13">
        <v>39.12</v>
      </c>
      <c r="D50" s="13"/>
      <c r="E50" s="13"/>
      <c r="F50" s="13">
        <f t="shared" si="7"/>
        <v>39.12</v>
      </c>
      <c r="G50" s="13">
        <v>0.16</v>
      </c>
      <c r="H50" s="13"/>
      <c r="I50" s="13">
        <f t="shared" si="8"/>
        <v>0.16</v>
      </c>
      <c r="J50" s="13">
        <f t="shared" si="9"/>
        <v>0</v>
      </c>
      <c r="K50" s="13">
        <f t="shared" si="10"/>
        <v>39.279999999999994</v>
      </c>
      <c r="L50" s="14">
        <f t="shared" si="11"/>
        <v>0</v>
      </c>
      <c r="M50" s="14">
        <f t="shared" si="12"/>
        <v>0</v>
      </c>
    </row>
    <row r="51" spans="2:13" ht="12.75">
      <c r="B51" s="13" t="s">
        <v>91</v>
      </c>
      <c r="C51" s="14">
        <v>3.24</v>
      </c>
      <c r="D51" s="13"/>
      <c r="E51" s="13"/>
      <c r="F51" s="14">
        <f t="shared" si="7"/>
        <v>3.24</v>
      </c>
      <c r="G51" s="13">
        <v>8.27</v>
      </c>
      <c r="H51" s="13">
        <v>0.07</v>
      </c>
      <c r="I51" s="13">
        <f t="shared" si="8"/>
        <v>8.2</v>
      </c>
      <c r="J51" s="13">
        <f t="shared" si="9"/>
        <v>0.07</v>
      </c>
      <c r="K51" s="13">
        <f t="shared" si="10"/>
        <v>11.44</v>
      </c>
      <c r="L51" s="14">
        <f t="shared" si="11"/>
        <v>0</v>
      </c>
      <c r="M51" s="14">
        <f t="shared" si="12"/>
        <v>0.8464328899637245</v>
      </c>
    </row>
    <row r="52" spans="2:13" ht="12.75">
      <c r="B52" s="13" t="s">
        <v>92</v>
      </c>
      <c r="C52" s="13">
        <v>61.3</v>
      </c>
      <c r="D52" s="13"/>
      <c r="E52" s="13"/>
      <c r="F52" s="13">
        <f t="shared" si="7"/>
        <v>61.3</v>
      </c>
      <c r="G52" s="13">
        <v>32.78</v>
      </c>
      <c r="H52" s="13"/>
      <c r="I52" s="13">
        <f t="shared" si="8"/>
        <v>32.78</v>
      </c>
      <c r="J52" s="13">
        <f t="shared" si="9"/>
        <v>0</v>
      </c>
      <c r="K52" s="13">
        <f t="shared" si="10"/>
        <v>94.08</v>
      </c>
      <c r="L52" s="14">
        <f t="shared" si="11"/>
        <v>0</v>
      </c>
      <c r="M52" s="14">
        <f t="shared" si="12"/>
        <v>0</v>
      </c>
    </row>
    <row r="53" spans="2:13" ht="12.75">
      <c r="B53" s="13" t="s">
        <v>93</v>
      </c>
      <c r="C53" s="13">
        <v>985.87</v>
      </c>
      <c r="D53" s="13"/>
      <c r="E53" s="13"/>
      <c r="F53" s="13">
        <f t="shared" si="7"/>
        <v>985.87</v>
      </c>
      <c r="G53" s="13">
        <v>83.28</v>
      </c>
      <c r="H53" s="13"/>
      <c r="I53" s="13">
        <f t="shared" si="8"/>
        <v>83.28</v>
      </c>
      <c r="J53" s="13">
        <f t="shared" si="9"/>
        <v>0</v>
      </c>
      <c r="K53" s="13">
        <f t="shared" si="10"/>
        <v>1069.15</v>
      </c>
      <c r="L53" s="14">
        <f t="shared" si="11"/>
        <v>0</v>
      </c>
      <c r="M53" s="14">
        <f t="shared" si="12"/>
        <v>0</v>
      </c>
    </row>
    <row r="54" spans="2:13" ht="12.75">
      <c r="B54" s="13" t="s">
        <v>94</v>
      </c>
      <c r="C54" s="13">
        <v>986.57</v>
      </c>
      <c r="D54" s="13"/>
      <c r="E54" s="13"/>
      <c r="F54" s="13">
        <f t="shared" si="7"/>
        <v>986.57</v>
      </c>
      <c r="G54" s="13">
        <v>310.08</v>
      </c>
      <c r="H54" s="13"/>
      <c r="I54" s="13">
        <f t="shared" si="8"/>
        <v>310.08</v>
      </c>
      <c r="J54" s="13">
        <f t="shared" si="9"/>
        <v>0</v>
      </c>
      <c r="K54" s="13">
        <f t="shared" si="10"/>
        <v>1296.65</v>
      </c>
      <c r="L54" s="14">
        <f t="shared" si="11"/>
        <v>0</v>
      </c>
      <c r="M54" s="14">
        <f t="shared" si="12"/>
        <v>0</v>
      </c>
    </row>
    <row r="55" spans="2:13" ht="12.75">
      <c r="B55" s="13" t="s">
        <v>95</v>
      </c>
      <c r="C55" s="13">
        <v>228.54</v>
      </c>
      <c r="D55" s="13"/>
      <c r="E55" s="13"/>
      <c r="F55" s="13">
        <f t="shared" si="7"/>
        <v>228.54</v>
      </c>
      <c r="G55" s="13">
        <v>38.9</v>
      </c>
      <c r="H55" s="13">
        <v>28.14</v>
      </c>
      <c r="I55" s="13">
        <f t="shared" si="8"/>
        <v>10.759999999999998</v>
      </c>
      <c r="J55" s="13">
        <f t="shared" si="9"/>
        <v>28.14</v>
      </c>
      <c r="K55" s="13">
        <f t="shared" si="10"/>
        <v>239.29999999999998</v>
      </c>
      <c r="L55" s="14">
        <f t="shared" si="11"/>
        <v>0</v>
      </c>
      <c r="M55" s="14">
        <f t="shared" si="12"/>
        <v>72.33933161953728</v>
      </c>
    </row>
    <row r="56" spans="2:13" ht="12.75">
      <c r="B56" s="13" t="s">
        <v>96</v>
      </c>
      <c r="C56" s="13">
        <v>126.41</v>
      </c>
      <c r="D56" s="13"/>
      <c r="E56" s="13"/>
      <c r="F56" s="13">
        <f t="shared" si="7"/>
        <v>126.41</v>
      </c>
      <c r="G56" s="13">
        <v>53.12</v>
      </c>
      <c r="H56" s="13"/>
      <c r="I56" s="13">
        <f t="shared" si="8"/>
        <v>53.12</v>
      </c>
      <c r="J56" s="13">
        <f t="shared" si="9"/>
        <v>0</v>
      </c>
      <c r="K56" s="13">
        <f t="shared" si="10"/>
        <v>179.53</v>
      </c>
      <c r="L56" s="14">
        <f t="shared" si="11"/>
        <v>0</v>
      </c>
      <c r="M56" s="14">
        <f t="shared" si="12"/>
        <v>0</v>
      </c>
    </row>
    <row r="57" spans="2:13" ht="12.75">
      <c r="B57" s="13" t="s">
        <v>97</v>
      </c>
      <c r="C57" s="13">
        <v>148.39</v>
      </c>
      <c r="D57" s="13"/>
      <c r="E57" s="13"/>
      <c r="F57" s="13">
        <f>C57-D57-E57</f>
        <v>148.39</v>
      </c>
      <c r="G57" s="13">
        <v>1.08</v>
      </c>
      <c r="H57" s="13"/>
      <c r="I57" s="13">
        <f t="shared" si="8"/>
        <v>1.08</v>
      </c>
      <c r="J57" s="13">
        <f t="shared" si="9"/>
        <v>0</v>
      </c>
      <c r="K57" s="13">
        <f t="shared" si="10"/>
        <v>149.47</v>
      </c>
      <c r="L57" s="14">
        <f t="shared" si="11"/>
        <v>0</v>
      </c>
      <c r="M57" s="14">
        <f t="shared" si="12"/>
        <v>0</v>
      </c>
    </row>
    <row r="58" spans="2:13" ht="12.75">
      <c r="B58" s="13" t="s">
        <v>98</v>
      </c>
      <c r="C58" s="13">
        <v>51.62</v>
      </c>
      <c r="D58" s="13"/>
      <c r="E58" s="13"/>
      <c r="F58" s="13">
        <f t="shared" si="7"/>
        <v>51.62</v>
      </c>
      <c r="G58" s="13">
        <v>0.13</v>
      </c>
      <c r="H58" s="13"/>
      <c r="I58" s="13">
        <f t="shared" si="8"/>
        <v>0.13</v>
      </c>
      <c r="J58" s="13">
        <f t="shared" si="9"/>
        <v>0</v>
      </c>
      <c r="K58" s="13">
        <f t="shared" si="10"/>
        <v>51.75</v>
      </c>
      <c r="L58" s="14">
        <f t="shared" si="11"/>
        <v>0</v>
      </c>
      <c r="M58" s="14">
        <f t="shared" si="12"/>
        <v>0</v>
      </c>
    </row>
    <row r="59" spans="2:13" ht="12.75">
      <c r="B59" s="13" t="s">
        <v>99</v>
      </c>
      <c r="C59" s="13">
        <v>72.46</v>
      </c>
      <c r="D59" s="13"/>
      <c r="E59" s="13"/>
      <c r="F59" s="13">
        <f t="shared" si="7"/>
        <v>72.46</v>
      </c>
      <c r="G59" s="13">
        <v>20.28</v>
      </c>
      <c r="H59" s="13"/>
      <c r="I59" s="13">
        <f t="shared" si="8"/>
        <v>20.28</v>
      </c>
      <c r="J59" s="13">
        <f t="shared" si="9"/>
        <v>0</v>
      </c>
      <c r="K59" s="13">
        <f t="shared" si="10"/>
        <v>92.74</v>
      </c>
      <c r="L59" s="14">
        <f t="shared" si="11"/>
        <v>0</v>
      </c>
      <c r="M59" s="14">
        <f t="shared" si="12"/>
        <v>0</v>
      </c>
    </row>
    <row r="60" spans="2:13" ht="12.75">
      <c r="B60" s="13" t="s">
        <v>100</v>
      </c>
      <c r="C60" s="13">
        <v>53.84</v>
      </c>
      <c r="D60" s="13"/>
      <c r="E60" s="13"/>
      <c r="F60" s="13">
        <f t="shared" si="7"/>
        <v>53.84</v>
      </c>
      <c r="G60" s="13"/>
      <c r="H60" s="13"/>
      <c r="I60" s="13">
        <f t="shared" si="8"/>
        <v>0</v>
      </c>
      <c r="J60" s="13">
        <f t="shared" si="9"/>
        <v>0</v>
      </c>
      <c r="K60" s="13">
        <f t="shared" si="10"/>
        <v>53.84</v>
      </c>
      <c r="L60" s="14">
        <f t="shared" si="11"/>
        <v>0</v>
      </c>
      <c r="M60" s="14" t="e">
        <f t="shared" si="12"/>
        <v>#DIV/0!</v>
      </c>
    </row>
    <row r="61" spans="2:13" ht="12.75">
      <c r="B61" s="13" t="s">
        <v>101</v>
      </c>
      <c r="C61" s="13">
        <v>13111.54</v>
      </c>
      <c r="D61" s="13"/>
      <c r="E61" s="13"/>
      <c r="F61" s="13">
        <f t="shared" si="7"/>
        <v>13111.54</v>
      </c>
      <c r="G61" s="13">
        <v>3549.21</v>
      </c>
      <c r="H61" s="13">
        <v>2067.53</v>
      </c>
      <c r="I61" s="13">
        <f t="shared" si="8"/>
        <v>1481.6799999999998</v>
      </c>
      <c r="J61" s="13">
        <f t="shared" si="9"/>
        <v>2067.53</v>
      </c>
      <c r="K61" s="13">
        <f t="shared" si="10"/>
        <v>14593.220000000001</v>
      </c>
      <c r="L61" s="14">
        <f t="shared" si="11"/>
        <v>0</v>
      </c>
      <c r="M61" s="14">
        <f t="shared" si="12"/>
        <v>58.25324508834361</v>
      </c>
    </row>
    <row r="62" spans="2:13" ht="12.75">
      <c r="B62" s="13" t="s">
        <v>102</v>
      </c>
      <c r="C62" s="13">
        <v>622.65</v>
      </c>
      <c r="D62" s="13"/>
      <c r="E62" s="13"/>
      <c r="F62" s="13">
        <f t="shared" si="7"/>
        <v>622.65</v>
      </c>
      <c r="G62" s="14">
        <v>189.31</v>
      </c>
      <c r="H62" s="14">
        <v>35</v>
      </c>
      <c r="I62" s="14">
        <f t="shared" si="8"/>
        <v>154.31</v>
      </c>
      <c r="J62" s="60">
        <f t="shared" si="9"/>
        <v>35</v>
      </c>
      <c r="K62" s="13">
        <f t="shared" si="10"/>
        <v>776.96</v>
      </c>
      <c r="L62" s="14">
        <f t="shared" si="11"/>
        <v>0</v>
      </c>
      <c r="M62" s="14">
        <f t="shared" si="12"/>
        <v>18.488193967566424</v>
      </c>
    </row>
    <row r="63" spans="2:13" ht="12.75">
      <c r="B63" s="13" t="s">
        <v>103</v>
      </c>
      <c r="C63" s="13">
        <v>68.19</v>
      </c>
      <c r="D63" s="13"/>
      <c r="E63" s="13"/>
      <c r="F63" s="13">
        <f t="shared" si="7"/>
        <v>68.19</v>
      </c>
      <c r="G63" s="13"/>
      <c r="H63" s="13"/>
      <c r="I63" s="13">
        <f t="shared" si="8"/>
        <v>0</v>
      </c>
      <c r="J63" s="13">
        <f t="shared" si="9"/>
        <v>0</v>
      </c>
      <c r="K63" s="13">
        <f t="shared" si="10"/>
        <v>68.19</v>
      </c>
      <c r="L63" s="14">
        <f t="shared" si="11"/>
        <v>0</v>
      </c>
      <c r="M63" s="14" t="e">
        <f t="shared" si="12"/>
        <v>#DIV/0!</v>
      </c>
    </row>
    <row r="64" spans="2:13" ht="12.75">
      <c r="B64" s="13" t="s">
        <v>104</v>
      </c>
      <c r="C64" s="13">
        <v>29.65</v>
      </c>
      <c r="D64" s="13"/>
      <c r="E64" s="13"/>
      <c r="F64" s="13">
        <f t="shared" si="7"/>
        <v>29.65</v>
      </c>
      <c r="G64" s="13">
        <v>3</v>
      </c>
      <c r="H64" s="13"/>
      <c r="I64" s="13">
        <f t="shared" si="8"/>
        <v>3</v>
      </c>
      <c r="J64" s="13">
        <f t="shared" si="9"/>
        <v>0</v>
      </c>
      <c r="K64" s="13">
        <f t="shared" si="10"/>
        <v>32.65</v>
      </c>
      <c r="L64" s="14">
        <f t="shared" si="11"/>
        <v>0</v>
      </c>
      <c r="M64" s="14">
        <f t="shared" si="12"/>
        <v>0</v>
      </c>
    </row>
    <row r="65" spans="2:13" ht="12.75">
      <c r="B65" s="13" t="s">
        <v>120</v>
      </c>
      <c r="C65" s="13">
        <f>SUM(C43:C64)</f>
        <v>17211.31</v>
      </c>
      <c r="D65" s="13">
        <f aca="true" t="shared" si="13" ref="D65:K65">SUM(D43:D64)</f>
        <v>0</v>
      </c>
      <c r="E65" s="13">
        <f t="shared" si="13"/>
        <v>0</v>
      </c>
      <c r="F65" s="13">
        <f t="shared" si="13"/>
        <v>17211.31</v>
      </c>
      <c r="G65" s="13">
        <f t="shared" si="13"/>
        <v>4511.4800000000005</v>
      </c>
      <c r="H65" s="13">
        <f t="shared" si="13"/>
        <v>2139.3</v>
      </c>
      <c r="I65" s="13">
        <f t="shared" si="13"/>
        <v>2372.18</v>
      </c>
      <c r="J65" s="13">
        <f t="shared" si="9"/>
        <v>2139.3</v>
      </c>
      <c r="K65" s="13">
        <f t="shared" si="13"/>
        <v>19583.49</v>
      </c>
      <c r="L65" s="14">
        <f t="shared" si="11"/>
        <v>0</v>
      </c>
      <c r="M65" s="14">
        <f t="shared" si="12"/>
        <v>47.41902878877885</v>
      </c>
    </row>
    <row r="66" spans="2:13" ht="12.75">
      <c r="B66" s="13" t="s">
        <v>122</v>
      </c>
      <c r="C66" s="13">
        <f aca="true" t="shared" si="14" ref="C66:K66">C34+C65</f>
        <v>91588.78</v>
      </c>
      <c r="D66" s="13">
        <f t="shared" si="14"/>
        <v>467.52</v>
      </c>
      <c r="E66" s="13">
        <f t="shared" si="14"/>
        <v>2.7600000000000002</v>
      </c>
      <c r="F66" s="13">
        <f t="shared" si="14"/>
        <v>91118.49999999999</v>
      </c>
      <c r="G66" s="13">
        <f t="shared" si="14"/>
        <v>49426.79000000001</v>
      </c>
      <c r="H66" s="13">
        <f t="shared" si="14"/>
        <v>7185.630000000001</v>
      </c>
      <c r="I66" s="13">
        <f t="shared" si="14"/>
        <v>42241.16</v>
      </c>
      <c r="J66" s="13">
        <f t="shared" si="9"/>
        <v>7653.1500000000015</v>
      </c>
      <c r="K66" s="13">
        <f t="shared" si="14"/>
        <v>133359.66</v>
      </c>
      <c r="L66" s="14">
        <f t="shared" si="11"/>
        <v>0.5134690078850269</v>
      </c>
      <c r="M66" s="14">
        <f t="shared" si="12"/>
        <v>14.53792568766857</v>
      </c>
    </row>
    <row r="68" ht="12.75">
      <c r="N68" s="1"/>
    </row>
    <row r="71" ht="12.75">
      <c r="G71" t="s">
        <v>50</v>
      </c>
    </row>
    <row r="72" ht="12.75">
      <c r="J72" t="s">
        <v>50</v>
      </c>
    </row>
    <row r="74" ht="12.75">
      <c r="K74" t="s">
        <v>113</v>
      </c>
    </row>
    <row r="75" spans="2:13" ht="12.75">
      <c r="B75" s="163" t="s">
        <v>48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7" spans="2:13" ht="12.75">
      <c r="B77" s="163" t="s">
        <v>129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spans="2:1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4" ht="12.75">
      <c r="B79" s="51" t="s">
        <v>108</v>
      </c>
      <c r="C79" s="51"/>
      <c r="D79" s="51"/>
    </row>
    <row r="80" spans="2:13" ht="12.75">
      <c r="B80" s="20"/>
      <c r="C80" s="49" t="s">
        <v>68</v>
      </c>
      <c r="D80" s="49" t="s">
        <v>74</v>
      </c>
      <c r="E80" s="49" t="s">
        <v>72</v>
      </c>
      <c r="F80" s="49" t="s">
        <v>75</v>
      </c>
      <c r="G80" s="49" t="s">
        <v>78</v>
      </c>
      <c r="H80" s="49" t="s">
        <v>74</v>
      </c>
      <c r="I80" s="49" t="s">
        <v>75</v>
      </c>
      <c r="J80" s="49" t="s">
        <v>117</v>
      </c>
      <c r="K80" s="49" t="s">
        <v>82</v>
      </c>
      <c r="L80" s="49" t="s">
        <v>105</v>
      </c>
      <c r="M80" s="49" t="s">
        <v>105</v>
      </c>
    </row>
    <row r="81" spans="2:13" ht="12.75">
      <c r="B81" s="6" t="s">
        <v>67</v>
      </c>
      <c r="C81" s="6" t="s">
        <v>69</v>
      </c>
      <c r="D81" s="6" t="s">
        <v>70</v>
      </c>
      <c r="E81" s="6" t="s">
        <v>124</v>
      </c>
      <c r="F81" s="6" t="s">
        <v>76</v>
      </c>
      <c r="G81" s="6" t="s">
        <v>80</v>
      </c>
      <c r="H81" s="6" t="s">
        <v>80</v>
      </c>
      <c r="I81" s="6" t="s">
        <v>76</v>
      </c>
      <c r="J81" s="6" t="s">
        <v>118</v>
      </c>
      <c r="K81" s="6" t="s">
        <v>76</v>
      </c>
      <c r="L81" s="6" t="s">
        <v>73</v>
      </c>
      <c r="M81" s="6" t="s">
        <v>78</v>
      </c>
    </row>
    <row r="82" spans="2:13" ht="12.75">
      <c r="B82" s="41"/>
      <c r="C82" s="50"/>
      <c r="D82" s="50" t="s">
        <v>71</v>
      </c>
      <c r="E82" s="50" t="s">
        <v>123</v>
      </c>
      <c r="F82" s="50" t="s">
        <v>77</v>
      </c>
      <c r="G82" s="50" t="s">
        <v>81</v>
      </c>
      <c r="H82" s="50" t="s">
        <v>81</v>
      </c>
      <c r="I82" s="50" t="s">
        <v>79</v>
      </c>
      <c r="J82" s="50" t="s">
        <v>119</v>
      </c>
      <c r="K82" s="50"/>
      <c r="L82" s="50" t="s">
        <v>106</v>
      </c>
      <c r="M82" s="50" t="s">
        <v>106</v>
      </c>
    </row>
    <row r="83" spans="2:13" ht="12.75">
      <c r="B83" s="13" t="s">
        <v>83</v>
      </c>
      <c r="C83" s="13">
        <v>6560.21</v>
      </c>
      <c r="D83" s="14">
        <v>26.45</v>
      </c>
      <c r="E83" s="13"/>
      <c r="F83" s="13">
        <f>C83-D83-E83</f>
        <v>6533.76</v>
      </c>
      <c r="G83" s="13">
        <v>2912.99</v>
      </c>
      <c r="H83" s="14">
        <v>166.9</v>
      </c>
      <c r="I83" s="13">
        <f>G83-H83</f>
        <v>2746.0899999999997</v>
      </c>
      <c r="J83" s="13">
        <f aca="true" t="shared" si="15" ref="J83:J105">D83+H83</f>
        <v>193.35</v>
      </c>
      <c r="K83" s="13">
        <f>F83+I83</f>
        <v>9279.85</v>
      </c>
      <c r="L83" s="14">
        <f>SUM(D83+E83)/C83%</f>
        <v>0.4031883125692622</v>
      </c>
      <c r="M83" s="14">
        <f>SUM(H83/G83%)</f>
        <v>5.729508168582797</v>
      </c>
    </row>
    <row r="84" spans="2:13" ht="12.75">
      <c r="B84" s="13" t="s">
        <v>84</v>
      </c>
      <c r="C84" s="13">
        <v>4598.67</v>
      </c>
      <c r="D84" s="13">
        <v>43.96</v>
      </c>
      <c r="E84" s="13"/>
      <c r="F84" s="13">
        <f>C84-D84-E84</f>
        <v>4554.71</v>
      </c>
      <c r="G84" s="13">
        <v>1199.13</v>
      </c>
      <c r="H84" s="13">
        <v>51.95</v>
      </c>
      <c r="I84" s="13">
        <f aca="true" t="shared" si="16" ref="I84:I104">G84-H84</f>
        <v>1147.18</v>
      </c>
      <c r="J84" s="13">
        <f t="shared" si="15"/>
        <v>95.91</v>
      </c>
      <c r="K84" s="13">
        <f aca="true" t="shared" si="17" ref="K84:K104">F84+I84</f>
        <v>5701.89</v>
      </c>
      <c r="L84" s="14">
        <f aca="true" t="shared" si="18" ref="L84:L105">SUM(D84+E84)/C84%</f>
        <v>0.9559285619537823</v>
      </c>
      <c r="M84" s="14">
        <f aca="true" t="shared" si="19" ref="M84:M105">SUM(H84/G84%)</f>
        <v>4.332307589669177</v>
      </c>
    </row>
    <row r="85" spans="2:16" ht="12.75">
      <c r="B85" s="13" t="s">
        <v>85</v>
      </c>
      <c r="C85" s="13">
        <v>4135.98</v>
      </c>
      <c r="D85" s="13">
        <v>28.95</v>
      </c>
      <c r="E85" s="13"/>
      <c r="F85" s="13">
        <f aca="true" t="shared" si="20" ref="F85:F104">C85-D85-E85</f>
        <v>4107.03</v>
      </c>
      <c r="G85" s="13">
        <v>1582.56</v>
      </c>
      <c r="H85" s="13">
        <v>174.55</v>
      </c>
      <c r="I85" s="13">
        <f t="shared" si="16"/>
        <v>1408.01</v>
      </c>
      <c r="J85" s="13">
        <f t="shared" si="15"/>
        <v>203.5</v>
      </c>
      <c r="K85" s="13">
        <f t="shared" si="17"/>
        <v>5515.04</v>
      </c>
      <c r="L85" s="14">
        <f t="shared" si="18"/>
        <v>0.6999550287960774</v>
      </c>
      <c r="M85" s="14">
        <f t="shared" si="19"/>
        <v>11.02959761399252</v>
      </c>
      <c r="P85" t="s">
        <v>50</v>
      </c>
    </row>
    <row r="86" spans="2:13" ht="12.75">
      <c r="B86" s="13" t="s">
        <v>86</v>
      </c>
      <c r="C86" s="13">
        <v>5070.94</v>
      </c>
      <c r="D86" s="13">
        <v>43.5</v>
      </c>
      <c r="E86" s="13"/>
      <c r="F86" s="13">
        <f t="shared" si="20"/>
        <v>5027.44</v>
      </c>
      <c r="G86" s="13">
        <v>3498.51</v>
      </c>
      <c r="H86" s="13">
        <v>372.02</v>
      </c>
      <c r="I86" s="13">
        <f t="shared" si="16"/>
        <v>3126.4900000000002</v>
      </c>
      <c r="J86" s="13">
        <f t="shared" si="15"/>
        <v>415.52</v>
      </c>
      <c r="K86" s="13">
        <f t="shared" si="17"/>
        <v>8153.93</v>
      </c>
      <c r="L86" s="14">
        <f t="shared" si="18"/>
        <v>0.8578291204392086</v>
      </c>
      <c r="M86" s="14">
        <f t="shared" si="19"/>
        <v>10.633669762270221</v>
      </c>
    </row>
    <row r="87" spans="2:13" ht="12.75">
      <c r="B87" s="13" t="s">
        <v>87</v>
      </c>
      <c r="C87" s="13">
        <v>6629.62</v>
      </c>
      <c r="D87" s="13">
        <v>28.49</v>
      </c>
      <c r="E87" s="13"/>
      <c r="F87" s="13">
        <f t="shared" si="20"/>
        <v>6601.13</v>
      </c>
      <c r="G87" s="13">
        <v>4879.16</v>
      </c>
      <c r="H87" s="13">
        <v>518.2</v>
      </c>
      <c r="I87" s="13">
        <f t="shared" si="16"/>
        <v>4360.96</v>
      </c>
      <c r="J87" s="13">
        <f t="shared" si="15"/>
        <v>546.69</v>
      </c>
      <c r="K87" s="13">
        <f t="shared" si="17"/>
        <v>10962.09</v>
      </c>
      <c r="L87" s="14">
        <f t="shared" si="18"/>
        <v>0.4297380543681236</v>
      </c>
      <c r="M87" s="14">
        <f t="shared" si="19"/>
        <v>10.620680608957281</v>
      </c>
    </row>
    <row r="88" spans="2:13" ht="12.75">
      <c r="B88" s="13" t="s">
        <v>88</v>
      </c>
      <c r="C88" s="14">
        <v>3928.51</v>
      </c>
      <c r="D88" s="13">
        <v>21.67</v>
      </c>
      <c r="E88" s="13"/>
      <c r="F88" s="13">
        <f t="shared" si="20"/>
        <v>3906.84</v>
      </c>
      <c r="G88" s="13">
        <v>1599.84</v>
      </c>
      <c r="H88" s="13">
        <v>340.54</v>
      </c>
      <c r="I88" s="13">
        <f t="shared" si="16"/>
        <v>1259.3</v>
      </c>
      <c r="J88" s="13">
        <f t="shared" si="15"/>
        <v>362.21000000000004</v>
      </c>
      <c r="K88" s="13">
        <f t="shared" si="17"/>
        <v>5166.14</v>
      </c>
      <c r="L88" s="14">
        <f t="shared" si="18"/>
        <v>0.5516086251530479</v>
      </c>
      <c r="M88" s="14">
        <f t="shared" si="19"/>
        <v>21.28587858785879</v>
      </c>
    </row>
    <row r="89" spans="2:13" ht="12.75">
      <c r="B89" s="13" t="s">
        <v>89</v>
      </c>
      <c r="C89" s="13">
        <v>736.77</v>
      </c>
      <c r="D89" s="14">
        <v>0.37</v>
      </c>
      <c r="E89" s="13"/>
      <c r="F89" s="13">
        <f t="shared" si="20"/>
        <v>736.4</v>
      </c>
      <c r="G89" s="13">
        <v>622.89</v>
      </c>
      <c r="H89" s="13">
        <v>80.24</v>
      </c>
      <c r="I89" s="13">
        <f t="shared" si="16"/>
        <v>542.65</v>
      </c>
      <c r="J89" s="13">
        <f t="shared" si="15"/>
        <v>80.61</v>
      </c>
      <c r="K89" s="13">
        <f t="shared" si="17"/>
        <v>1279.05</v>
      </c>
      <c r="L89" s="14">
        <f t="shared" si="18"/>
        <v>0.05021920002171641</v>
      </c>
      <c r="M89" s="14">
        <f t="shared" si="19"/>
        <v>12.881889258135466</v>
      </c>
    </row>
    <row r="90" spans="2:13" ht="12.75">
      <c r="B90" s="13" t="s">
        <v>90</v>
      </c>
      <c r="C90" s="13">
        <v>6052.97</v>
      </c>
      <c r="D90" s="13">
        <v>31</v>
      </c>
      <c r="E90" s="13"/>
      <c r="F90" s="13">
        <f t="shared" si="20"/>
        <v>6021.97</v>
      </c>
      <c r="G90" s="13">
        <v>1845.21</v>
      </c>
      <c r="H90" s="13">
        <v>211.31</v>
      </c>
      <c r="I90" s="13">
        <f t="shared" si="16"/>
        <v>1633.9</v>
      </c>
      <c r="J90" s="13">
        <f t="shared" si="15"/>
        <v>242.31</v>
      </c>
      <c r="K90" s="13">
        <f t="shared" si="17"/>
        <v>7655.870000000001</v>
      </c>
      <c r="L90" s="14">
        <f t="shared" si="18"/>
        <v>0.5121452774423134</v>
      </c>
      <c r="M90" s="14">
        <f t="shared" si="19"/>
        <v>11.451813072766784</v>
      </c>
    </row>
    <row r="91" spans="2:13" ht="12.75">
      <c r="B91" s="13" t="s">
        <v>91</v>
      </c>
      <c r="C91" s="13">
        <v>633.39</v>
      </c>
      <c r="D91" s="13">
        <v>1.21</v>
      </c>
      <c r="E91" s="13"/>
      <c r="F91" s="13">
        <f t="shared" si="20"/>
        <v>632.18</v>
      </c>
      <c r="G91" s="13">
        <v>338.1</v>
      </c>
      <c r="H91" s="13">
        <v>48.22</v>
      </c>
      <c r="I91" s="13">
        <f t="shared" si="16"/>
        <v>289.88</v>
      </c>
      <c r="J91" s="13">
        <f t="shared" si="15"/>
        <v>49.43</v>
      </c>
      <c r="K91" s="13">
        <f t="shared" si="17"/>
        <v>922.06</v>
      </c>
      <c r="L91" s="14">
        <f t="shared" si="18"/>
        <v>0.19103553892546457</v>
      </c>
      <c r="M91" s="14">
        <f t="shared" si="19"/>
        <v>14.262052647145813</v>
      </c>
    </row>
    <row r="92" spans="2:13" ht="12.75">
      <c r="B92" s="13" t="s">
        <v>92</v>
      </c>
      <c r="C92" s="13">
        <v>4823.65</v>
      </c>
      <c r="D92" s="13">
        <v>3.91</v>
      </c>
      <c r="E92" s="13"/>
      <c r="F92" s="13">
        <f t="shared" si="20"/>
        <v>4819.74</v>
      </c>
      <c r="G92" s="13">
        <v>708.63</v>
      </c>
      <c r="H92" s="13">
        <v>47.89</v>
      </c>
      <c r="I92" s="13">
        <f t="shared" si="16"/>
        <v>660.74</v>
      </c>
      <c r="J92" s="13">
        <f t="shared" si="15"/>
        <v>51.8</v>
      </c>
      <c r="K92" s="13">
        <f t="shared" si="17"/>
        <v>5480.48</v>
      </c>
      <c r="L92" s="14">
        <f t="shared" si="18"/>
        <v>0.0810589491360277</v>
      </c>
      <c r="M92" s="14">
        <f t="shared" si="19"/>
        <v>6.758110720686395</v>
      </c>
    </row>
    <row r="93" spans="2:13" ht="12.75">
      <c r="B93" s="13" t="s">
        <v>93</v>
      </c>
      <c r="C93" s="13">
        <v>22265.03</v>
      </c>
      <c r="D93" s="13">
        <v>49.02</v>
      </c>
      <c r="E93" s="14"/>
      <c r="F93" s="13">
        <f t="shared" si="20"/>
        <v>22216.01</v>
      </c>
      <c r="G93" s="13">
        <v>8349.79</v>
      </c>
      <c r="H93" s="13">
        <v>946.87</v>
      </c>
      <c r="I93" s="13">
        <f t="shared" si="16"/>
        <v>7402.920000000001</v>
      </c>
      <c r="J93" s="13">
        <f t="shared" si="15"/>
        <v>995.89</v>
      </c>
      <c r="K93" s="13">
        <f t="shared" si="17"/>
        <v>29618.93</v>
      </c>
      <c r="L93" s="14">
        <f t="shared" si="18"/>
        <v>0.22016588345041532</v>
      </c>
      <c r="M93" s="14">
        <f t="shared" si="19"/>
        <v>11.340045677795487</v>
      </c>
    </row>
    <row r="94" spans="2:13" ht="12.75">
      <c r="B94" s="13" t="s">
        <v>94</v>
      </c>
      <c r="C94" s="13">
        <v>15636.16</v>
      </c>
      <c r="D94" s="13">
        <v>25.65</v>
      </c>
      <c r="E94" s="13"/>
      <c r="F94" s="13">
        <f t="shared" si="20"/>
        <v>15610.51</v>
      </c>
      <c r="G94" s="13">
        <v>7323.18</v>
      </c>
      <c r="H94" s="13">
        <v>381.09</v>
      </c>
      <c r="I94" s="13">
        <f t="shared" si="16"/>
        <v>6942.09</v>
      </c>
      <c r="J94" s="13">
        <f t="shared" si="15"/>
        <v>406.73999999999995</v>
      </c>
      <c r="K94" s="13">
        <f t="shared" si="17"/>
        <v>22552.6</v>
      </c>
      <c r="L94" s="14">
        <f t="shared" si="18"/>
        <v>0.1640428340462108</v>
      </c>
      <c r="M94" s="14">
        <f t="shared" si="19"/>
        <v>5.203886836046634</v>
      </c>
    </row>
    <row r="95" spans="2:13" ht="12.75">
      <c r="B95" s="13" t="s">
        <v>95</v>
      </c>
      <c r="C95" s="13">
        <v>6030.08</v>
      </c>
      <c r="D95" s="13">
        <v>27.11</v>
      </c>
      <c r="E95" s="13"/>
      <c r="F95" s="13">
        <f t="shared" si="20"/>
        <v>6002.97</v>
      </c>
      <c r="G95" s="13">
        <v>2818.09</v>
      </c>
      <c r="H95" s="13">
        <v>178</v>
      </c>
      <c r="I95" s="13">
        <f t="shared" si="16"/>
        <v>2640.09</v>
      </c>
      <c r="J95" s="13">
        <f t="shared" si="15"/>
        <v>205.11</v>
      </c>
      <c r="K95" s="13">
        <f t="shared" si="17"/>
        <v>8643.060000000001</v>
      </c>
      <c r="L95" s="14">
        <f t="shared" si="18"/>
        <v>0.4495794417321163</v>
      </c>
      <c r="M95" s="14">
        <f t="shared" si="19"/>
        <v>6.316334822521637</v>
      </c>
    </row>
    <row r="96" spans="2:15" ht="12.75">
      <c r="B96" s="13" t="s">
        <v>96</v>
      </c>
      <c r="C96" s="13">
        <v>2349.57</v>
      </c>
      <c r="D96" s="13">
        <v>4.3</v>
      </c>
      <c r="E96" s="13"/>
      <c r="F96" s="13">
        <f t="shared" si="20"/>
        <v>2345.27</v>
      </c>
      <c r="G96" s="13">
        <v>253.11</v>
      </c>
      <c r="H96" s="13">
        <v>61.67</v>
      </c>
      <c r="I96" s="13">
        <f t="shared" si="16"/>
        <v>191.44</v>
      </c>
      <c r="J96" s="13">
        <f t="shared" si="15"/>
        <v>65.97</v>
      </c>
      <c r="K96" s="13">
        <f t="shared" si="17"/>
        <v>2536.71</v>
      </c>
      <c r="L96" s="14">
        <f t="shared" si="18"/>
        <v>0.18301221074494478</v>
      </c>
      <c r="M96" s="14">
        <f t="shared" si="19"/>
        <v>24.364900636087075</v>
      </c>
      <c r="O96" t="s">
        <v>50</v>
      </c>
    </row>
    <row r="97" spans="2:13" ht="12.75">
      <c r="B97" s="13" t="s">
        <v>97</v>
      </c>
      <c r="C97" s="13">
        <v>3246.68</v>
      </c>
      <c r="D97" s="54">
        <v>12.14</v>
      </c>
      <c r="E97" s="13"/>
      <c r="F97" s="13">
        <f t="shared" si="20"/>
        <v>3234.54</v>
      </c>
      <c r="G97" s="13">
        <v>513.38</v>
      </c>
      <c r="H97" s="13">
        <v>122.85</v>
      </c>
      <c r="I97" s="13">
        <f t="shared" si="16"/>
        <v>390.53</v>
      </c>
      <c r="J97" s="13">
        <f t="shared" si="15"/>
        <v>134.99</v>
      </c>
      <c r="K97" s="13">
        <f t="shared" si="17"/>
        <v>3625.0699999999997</v>
      </c>
      <c r="L97" s="14">
        <f t="shared" si="18"/>
        <v>0.3739204356450282</v>
      </c>
      <c r="M97" s="14">
        <f t="shared" si="19"/>
        <v>23.929642759749115</v>
      </c>
    </row>
    <row r="98" spans="2:13" ht="12.75">
      <c r="B98" s="13" t="s">
        <v>98</v>
      </c>
      <c r="C98" s="13">
        <v>3700.22</v>
      </c>
      <c r="D98" s="13">
        <v>21.4</v>
      </c>
      <c r="E98" s="13"/>
      <c r="F98" s="11">
        <f t="shared" si="20"/>
        <v>3678.8199999999997</v>
      </c>
      <c r="G98" s="13">
        <v>1060.15</v>
      </c>
      <c r="H98" s="13">
        <v>35.12</v>
      </c>
      <c r="I98" s="13">
        <f t="shared" si="16"/>
        <v>1025.0300000000002</v>
      </c>
      <c r="J98" s="13">
        <f t="shared" si="15"/>
        <v>56.519999999999996</v>
      </c>
      <c r="K98" s="13">
        <f t="shared" si="17"/>
        <v>4703.85</v>
      </c>
      <c r="L98" s="14">
        <f t="shared" si="18"/>
        <v>0.5783439903573302</v>
      </c>
      <c r="M98" s="14">
        <f t="shared" si="19"/>
        <v>3.3127387633825394</v>
      </c>
    </row>
    <row r="99" spans="2:13" ht="12.75">
      <c r="B99" s="13" t="s">
        <v>99</v>
      </c>
      <c r="C99" s="13">
        <v>6848.55</v>
      </c>
      <c r="D99" s="13">
        <v>29.22</v>
      </c>
      <c r="E99" s="13"/>
      <c r="F99" s="11">
        <f t="shared" si="20"/>
        <v>6819.33</v>
      </c>
      <c r="G99" s="13">
        <v>2011.84</v>
      </c>
      <c r="H99" s="13">
        <v>74.43</v>
      </c>
      <c r="I99" s="13">
        <f t="shared" si="16"/>
        <v>1937.4099999999999</v>
      </c>
      <c r="J99" s="13">
        <f t="shared" si="15"/>
        <v>103.65</v>
      </c>
      <c r="K99" s="13">
        <f t="shared" si="17"/>
        <v>8756.74</v>
      </c>
      <c r="L99" s="14">
        <f t="shared" si="18"/>
        <v>0.42665965788378557</v>
      </c>
      <c r="M99" s="14">
        <f t="shared" si="19"/>
        <v>3.6995983776045818</v>
      </c>
    </row>
    <row r="100" spans="2:13" ht="12.75">
      <c r="B100" s="13" t="s">
        <v>100</v>
      </c>
      <c r="C100" s="13">
        <v>4668.69</v>
      </c>
      <c r="D100" s="13">
        <v>21.06</v>
      </c>
      <c r="E100" s="13">
        <v>0.56</v>
      </c>
      <c r="F100" s="13">
        <f t="shared" si="20"/>
        <v>4647.069999999999</v>
      </c>
      <c r="G100" s="13">
        <v>836.84</v>
      </c>
      <c r="H100" s="13">
        <v>29.45</v>
      </c>
      <c r="I100" s="13">
        <f t="shared" si="16"/>
        <v>807.39</v>
      </c>
      <c r="J100" s="13">
        <f t="shared" si="15"/>
        <v>50.51</v>
      </c>
      <c r="K100" s="13">
        <f t="shared" si="17"/>
        <v>5454.459999999999</v>
      </c>
      <c r="L100" s="14">
        <f t="shared" si="18"/>
        <v>0.463084933889378</v>
      </c>
      <c r="M100" s="14">
        <f t="shared" si="19"/>
        <v>3.51919124324841</v>
      </c>
    </row>
    <row r="101" spans="2:13" ht="12.75">
      <c r="B101" s="13" t="s">
        <v>101</v>
      </c>
      <c r="C101" s="13">
        <v>94299.69</v>
      </c>
      <c r="D101" s="13">
        <v>257.63</v>
      </c>
      <c r="E101" s="13">
        <v>6.31</v>
      </c>
      <c r="F101" s="13">
        <f t="shared" si="20"/>
        <v>94035.75</v>
      </c>
      <c r="G101" s="13">
        <v>52031.8</v>
      </c>
      <c r="H101" s="13">
        <v>9644.5</v>
      </c>
      <c r="I101" s="13">
        <f t="shared" si="16"/>
        <v>42387.3</v>
      </c>
      <c r="J101" s="13">
        <f t="shared" si="15"/>
        <v>9902.13</v>
      </c>
      <c r="K101" s="13">
        <f t="shared" si="17"/>
        <v>136423.05</v>
      </c>
      <c r="L101" s="14">
        <f t="shared" si="18"/>
        <v>0.27989487558230575</v>
      </c>
      <c r="M101" s="14">
        <f t="shared" si="19"/>
        <v>18.53578004220496</v>
      </c>
    </row>
    <row r="102" spans="2:13" ht="12.75">
      <c r="B102" s="13" t="s">
        <v>102</v>
      </c>
      <c r="C102" s="13">
        <v>17163.42</v>
      </c>
      <c r="D102" s="13">
        <v>94.44</v>
      </c>
      <c r="E102" s="13"/>
      <c r="F102" s="13">
        <f t="shared" si="20"/>
        <v>17068.98</v>
      </c>
      <c r="G102" s="13">
        <v>7793.16</v>
      </c>
      <c r="H102" s="13">
        <v>405.19</v>
      </c>
      <c r="I102" s="13">
        <f t="shared" si="16"/>
        <v>7387.97</v>
      </c>
      <c r="J102" s="13">
        <f t="shared" si="15"/>
        <v>499.63</v>
      </c>
      <c r="K102" s="13">
        <f t="shared" si="17"/>
        <v>24456.95</v>
      </c>
      <c r="L102" s="14">
        <f t="shared" si="18"/>
        <v>0.5502399871354311</v>
      </c>
      <c r="M102" s="14">
        <f t="shared" si="19"/>
        <v>5.199302978509359</v>
      </c>
    </row>
    <row r="103" spans="2:13" ht="12.75">
      <c r="B103" s="13" t="s">
        <v>103</v>
      </c>
      <c r="C103" s="13">
        <v>788.57</v>
      </c>
      <c r="D103" s="13">
        <v>3.68</v>
      </c>
      <c r="E103" s="13"/>
      <c r="F103" s="13">
        <f t="shared" si="20"/>
        <v>784.8900000000001</v>
      </c>
      <c r="G103" s="13">
        <v>497.3</v>
      </c>
      <c r="H103" s="13">
        <v>15.11</v>
      </c>
      <c r="I103" s="13">
        <f t="shared" si="16"/>
        <v>482.19</v>
      </c>
      <c r="J103" s="13">
        <f t="shared" si="15"/>
        <v>18.79</v>
      </c>
      <c r="K103" s="13">
        <f t="shared" si="17"/>
        <v>1267.0800000000002</v>
      </c>
      <c r="L103" s="14">
        <f t="shared" si="18"/>
        <v>0.4666675120788262</v>
      </c>
      <c r="M103" s="14">
        <f t="shared" si="19"/>
        <v>3.038407399959783</v>
      </c>
    </row>
    <row r="104" spans="2:13" ht="12.75">
      <c r="B104" s="13" t="s">
        <v>104</v>
      </c>
      <c r="C104" s="13">
        <v>6750.62</v>
      </c>
      <c r="D104" s="13">
        <v>59.85</v>
      </c>
      <c r="E104" s="13">
        <v>1.6</v>
      </c>
      <c r="F104" s="13">
        <f t="shared" si="20"/>
        <v>6689.169999999999</v>
      </c>
      <c r="G104" s="13">
        <v>3795.46</v>
      </c>
      <c r="H104" s="13">
        <v>335</v>
      </c>
      <c r="I104" s="13">
        <f t="shared" si="16"/>
        <v>3460.46</v>
      </c>
      <c r="J104" s="13">
        <f t="shared" si="15"/>
        <v>394.85</v>
      </c>
      <c r="K104" s="13">
        <f t="shared" si="17"/>
        <v>10149.63</v>
      </c>
      <c r="L104" s="14">
        <f t="shared" si="18"/>
        <v>0.9102867588458543</v>
      </c>
      <c r="M104" s="14">
        <f t="shared" si="19"/>
        <v>8.826334620836473</v>
      </c>
    </row>
    <row r="105" spans="2:13" ht="12.75">
      <c r="B105" s="13" t="s">
        <v>121</v>
      </c>
      <c r="C105" s="13">
        <f aca="true" t="shared" si="21" ref="C105:K105">SUM(C83:C104)</f>
        <v>226917.99</v>
      </c>
      <c r="D105" s="13">
        <f t="shared" si="21"/>
        <v>835.01</v>
      </c>
      <c r="E105" s="13">
        <f t="shared" si="21"/>
        <v>8.469999999999999</v>
      </c>
      <c r="F105" s="13">
        <f t="shared" si="21"/>
        <v>226074.51</v>
      </c>
      <c r="G105" s="13">
        <f t="shared" si="21"/>
        <v>106471.12000000001</v>
      </c>
      <c r="H105" s="13">
        <f t="shared" si="21"/>
        <v>14241.1</v>
      </c>
      <c r="I105" s="13">
        <f t="shared" si="21"/>
        <v>92230.02000000002</v>
      </c>
      <c r="J105" s="13">
        <f t="shared" si="15"/>
        <v>15076.11</v>
      </c>
      <c r="K105" s="13">
        <f t="shared" si="21"/>
        <v>318304.53</v>
      </c>
      <c r="L105" s="14">
        <f t="shared" si="18"/>
        <v>0.37171138348264054</v>
      </c>
      <c r="M105" s="14">
        <f t="shared" si="19"/>
        <v>13.37555198066856</v>
      </c>
    </row>
    <row r="110" spans="2:4" ht="12.75">
      <c r="B110" s="45" t="s">
        <v>111</v>
      </c>
      <c r="C110" s="51"/>
      <c r="D110" s="51"/>
    </row>
    <row r="111" spans="2:13" ht="12.75">
      <c r="B111" s="20"/>
      <c r="C111" s="49" t="s">
        <v>68</v>
      </c>
      <c r="D111" s="49" t="s">
        <v>74</v>
      </c>
      <c r="E111" s="49" t="s">
        <v>72</v>
      </c>
      <c r="F111" s="49" t="s">
        <v>75</v>
      </c>
      <c r="G111" s="49" t="s">
        <v>78</v>
      </c>
      <c r="H111" s="49" t="s">
        <v>74</v>
      </c>
      <c r="I111" s="49" t="s">
        <v>75</v>
      </c>
      <c r="J111" s="49" t="s">
        <v>117</v>
      </c>
      <c r="K111" s="49" t="s">
        <v>82</v>
      </c>
      <c r="L111" s="49" t="s">
        <v>105</v>
      </c>
      <c r="M111" s="49" t="s">
        <v>105</v>
      </c>
    </row>
    <row r="112" spans="2:13" ht="12.75">
      <c r="B112" s="6" t="s">
        <v>67</v>
      </c>
      <c r="C112" s="6" t="s">
        <v>69</v>
      </c>
      <c r="D112" s="6" t="s">
        <v>70</v>
      </c>
      <c r="E112" s="6" t="s">
        <v>124</v>
      </c>
      <c r="F112" s="6" t="s">
        <v>76</v>
      </c>
      <c r="G112" s="6" t="s">
        <v>80</v>
      </c>
      <c r="H112" s="6" t="s">
        <v>80</v>
      </c>
      <c r="I112" s="6" t="s">
        <v>76</v>
      </c>
      <c r="J112" s="6" t="s">
        <v>118</v>
      </c>
      <c r="K112" s="6" t="s">
        <v>76</v>
      </c>
      <c r="L112" s="6" t="s">
        <v>73</v>
      </c>
      <c r="M112" s="6" t="s">
        <v>78</v>
      </c>
    </row>
    <row r="113" spans="2:13" ht="12.75">
      <c r="B113" s="41"/>
      <c r="C113" s="50"/>
      <c r="D113" s="50" t="s">
        <v>71</v>
      </c>
      <c r="E113" s="50" t="s">
        <v>123</v>
      </c>
      <c r="F113" s="50" t="s">
        <v>77</v>
      </c>
      <c r="G113" s="50" t="s">
        <v>81</v>
      </c>
      <c r="H113" s="50" t="s">
        <v>81</v>
      </c>
      <c r="I113" s="50" t="s">
        <v>79</v>
      </c>
      <c r="J113" s="50" t="s">
        <v>119</v>
      </c>
      <c r="K113" s="50"/>
      <c r="L113" s="50" t="s">
        <v>106</v>
      </c>
      <c r="M113" s="50" t="s">
        <v>106</v>
      </c>
    </row>
    <row r="114" spans="2:13" ht="12.75">
      <c r="B114" s="13" t="s">
        <v>83</v>
      </c>
      <c r="C114" s="13">
        <v>216.51</v>
      </c>
      <c r="D114" s="13"/>
      <c r="E114" s="13"/>
      <c r="F114" s="13">
        <f aca="true" t="shared" si="22" ref="F114:F134">C114-D114-E114</f>
        <v>216.51</v>
      </c>
      <c r="G114" s="13">
        <v>247.59</v>
      </c>
      <c r="H114" s="13">
        <v>238.94</v>
      </c>
      <c r="I114" s="13">
        <f aca="true" t="shared" si="23" ref="I114:I135">G114-H114</f>
        <v>8.650000000000006</v>
      </c>
      <c r="J114" s="13">
        <f aca="true" t="shared" si="24" ref="J114:J137">D114+H114</f>
        <v>238.94</v>
      </c>
      <c r="K114" s="13">
        <f aca="true" t="shared" si="25" ref="K114:K135">F114+I114</f>
        <v>225.16</v>
      </c>
      <c r="L114" s="14">
        <f aca="true" t="shared" si="26" ref="L114:L137">SUM(D114+E114)/C114%</f>
        <v>0</v>
      </c>
      <c r="M114" s="14">
        <f aca="true" t="shared" si="27" ref="M114:M137">SUM(H114/G114%)</f>
        <v>96.50632093380185</v>
      </c>
    </row>
    <row r="115" spans="2:13" ht="12.75">
      <c r="B115" s="13" t="s">
        <v>84</v>
      </c>
      <c r="C115" s="13">
        <v>183.01</v>
      </c>
      <c r="D115" s="13"/>
      <c r="E115" s="13"/>
      <c r="F115" s="13">
        <f t="shared" si="22"/>
        <v>183.01</v>
      </c>
      <c r="G115" s="13">
        <v>99.52</v>
      </c>
      <c r="H115" s="13"/>
      <c r="I115" s="13">
        <f t="shared" si="23"/>
        <v>99.52</v>
      </c>
      <c r="J115" s="13">
        <f t="shared" si="24"/>
        <v>0</v>
      </c>
      <c r="K115" s="13">
        <f t="shared" si="25"/>
        <v>282.53</v>
      </c>
      <c r="L115" s="14">
        <f t="shared" si="26"/>
        <v>0</v>
      </c>
      <c r="M115" s="14">
        <f t="shared" si="27"/>
        <v>0</v>
      </c>
    </row>
    <row r="116" spans="2:13" ht="12.75">
      <c r="B116" s="13" t="s">
        <v>85</v>
      </c>
      <c r="C116" s="13">
        <v>260.36</v>
      </c>
      <c r="D116" s="13"/>
      <c r="E116" s="13"/>
      <c r="F116" s="13">
        <f t="shared" si="22"/>
        <v>260.36</v>
      </c>
      <c r="G116" s="13">
        <v>4.71</v>
      </c>
      <c r="H116" s="13"/>
      <c r="I116" s="13">
        <f t="shared" si="23"/>
        <v>4.71</v>
      </c>
      <c r="J116" s="13">
        <f t="shared" si="24"/>
        <v>0</v>
      </c>
      <c r="K116" s="13">
        <f t="shared" si="25"/>
        <v>265.07</v>
      </c>
      <c r="L116" s="14">
        <f t="shared" si="26"/>
        <v>0</v>
      </c>
      <c r="M116" s="14">
        <f t="shared" si="27"/>
        <v>0</v>
      </c>
    </row>
    <row r="117" spans="2:13" ht="12.75">
      <c r="B117" s="13" t="s">
        <v>86</v>
      </c>
      <c r="C117" s="13">
        <v>228.46</v>
      </c>
      <c r="D117" s="13"/>
      <c r="E117" s="13"/>
      <c r="F117" s="13">
        <f t="shared" si="22"/>
        <v>228.46</v>
      </c>
      <c r="G117" s="13">
        <v>129.49</v>
      </c>
      <c r="H117" s="13"/>
      <c r="I117" s="13">
        <f t="shared" si="23"/>
        <v>129.49</v>
      </c>
      <c r="J117" s="13">
        <f t="shared" si="24"/>
        <v>0</v>
      </c>
      <c r="K117" s="13">
        <f t="shared" si="25"/>
        <v>357.95000000000005</v>
      </c>
      <c r="L117" s="14">
        <f t="shared" si="26"/>
        <v>0</v>
      </c>
      <c r="M117" s="14">
        <f t="shared" si="27"/>
        <v>0</v>
      </c>
    </row>
    <row r="118" spans="2:13" ht="12.75">
      <c r="B118" s="13" t="s">
        <v>87</v>
      </c>
      <c r="C118" s="13">
        <v>344.15</v>
      </c>
      <c r="D118" s="13"/>
      <c r="E118" s="13"/>
      <c r="F118" s="13">
        <f t="shared" si="22"/>
        <v>344.15</v>
      </c>
      <c r="G118" s="13">
        <v>138.58</v>
      </c>
      <c r="H118" s="13">
        <v>13.48</v>
      </c>
      <c r="I118" s="13">
        <f t="shared" si="23"/>
        <v>125.10000000000001</v>
      </c>
      <c r="J118" s="13">
        <f t="shared" si="24"/>
        <v>13.48</v>
      </c>
      <c r="K118" s="13">
        <f t="shared" si="25"/>
        <v>469.25</v>
      </c>
      <c r="L118" s="14">
        <f t="shared" si="26"/>
        <v>0</v>
      </c>
      <c r="M118" s="14">
        <f t="shared" si="27"/>
        <v>9.727233367008225</v>
      </c>
    </row>
    <row r="119" spans="2:13" ht="12.75">
      <c r="B119" s="13" t="s">
        <v>88</v>
      </c>
      <c r="C119" s="13">
        <v>395.29</v>
      </c>
      <c r="D119" s="13"/>
      <c r="E119" s="13"/>
      <c r="F119" s="13">
        <f t="shared" si="22"/>
        <v>395.29</v>
      </c>
      <c r="G119" s="13">
        <v>98.09</v>
      </c>
      <c r="H119" s="13"/>
      <c r="I119" s="13">
        <f t="shared" si="23"/>
        <v>98.09</v>
      </c>
      <c r="J119" s="13">
        <f t="shared" si="24"/>
        <v>0</v>
      </c>
      <c r="K119" s="13">
        <f t="shared" si="25"/>
        <v>493.38</v>
      </c>
      <c r="L119" s="14">
        <f t="shared" si="26"/>
        <v>0</v>
      </c>
      <c r="M119" s="14">
        <f t="shared" si="27"/>
        <v>0</v>
      </c>
    </row>
    <row r="120" spans="2:13" ht="12.75">
      <c r="B120" s="13" t="s">
        <v>89</v>
      </c>
      <c r="C120" s="13">
        <v>74.74</v>
      </c>
      <c r="D120" s="13"/>
      <c r="E120" s="13"/>
      <c r="F120" s="13">
        <f t="shared" si="22"/>
        <v>74.74</v>
      </c>
      <c r="G120" s="13">
        <v>2.28</v>
      </c>
      <c r="H120" s="13"/>
      <c r="I120" s="13">
        <f t="shared" si="23"/>
        <v>2.28</v>
      </c>
      <c r="J120" s="13">
        <f t="shared" si="24"/>
        <v>0</v>
      </c>
      <c r="K120" s="13">
        <f t="shared" si="25"/>
        <v>77.02</v>
      </c>
      <c r="L120" s="14">
        <f t="shared" si="26"/>
        <v>0</v>
      </c>
      <c r="M120" s="14">
        <f t="shared" si="27"/>
        <v>0</v>
      </c>
    </row>
    <row r="121" spans="2:13" ht="12.75">
      <c r="B121" s="13" t="s">
        <v>90</v>
      </c>
      <c r="C121" s="13">
        <v>250.32</v>
      </c>
      <c r="D121" s="13"/>
      <c r="E121" s="13"/>
      <c r="F121" s="13">
        <f t="shared" si="22"/>
        <v>250.32</v>
      </c>
      <c r="G121" s="13">
        <v>4.82</v>
      </c>
      <c r="H121" s="13"/>
      <c r="I121" s="13">
        <f t="shared" si="23"/>
        <v>4.82</v>
      </c>
      <c r="J121" s="13">
        <f t="shared" si="24"/>
        <v>0</v>
      </c>
      <c r="K121" s="13">
        <f t="shared" si="25"/>
        <v>255.14</v>
      </c>
      <c r="L121" s="14">
        <f t="shared" si="26"/>
        <v>0</v>
      </c>
      <c r="M121" s="14">
        <f t="shared" si="27"/>
        <v>0</v>
      </c>
    </row>
    <row r="122" spans="2:13" ht="12.75">
      <c r="B122" s="13" t="s">
        <v>91</v>
      </c>
      <c r="C122" s="13">
        <v>17.02</v>
      </c>
      <c r="D122" s="13"/>
      <c r="E122" s="13"/>
      <c r="F122" s="13">
        <f t="shared" si="22"/>
        <v>17.02</v>
      </c>
      <c r="G122" s="13">
        <v>22.63</v>
      </c>
      <c r="H122" s="13">
        <v>0.2</v>
      </c>
      <c r="I122" s="13">
        <f t="shared" si="23"/>
        <v>22.43</v>
      </c>
      <c r="J122" s="13">
        <f t="shared" si="24"/>
        <v>0.2</v>
      </c>
      <c r="K122" s="13">
        <f t="shared" si="25"/>
        <v>39.45</v>
      </c>
      <c r="L122" s="14">
        <f t="shared" si="26"/>
        <v>0</v>
      </c>
      <c r="M122" s="14">
        <f t="shared" si="27"/>
        <v>0.8837825894829873</v>
      </c>
    </row>
    <row r="123" spans="2:13" ht="12.75">
      <c r="B123" s="13" t="s">
        <v>92</v>
      </c>
      <c r="C123" s="13">
        <v>156.68</v>
      </c>
      <c r="D123" s="13"/>
      <c r="E123" s="13"/>
      <c r="F123" s="13">
        <f t="shared" si="22"/>
        <v>156.68</v>
      </c>
      <c r="G123" s="13">
        <v>60.56</v>
      </c>
      <c r="H123" s="13">
        <v>1.6</v>
      </c>
      <c r="I123" s="13">
        <f t="shared" si="23"/>
        <v>58.96</v>
      </c>
      <c r="J123" s="13">
        <f t="shared" si="24"/>
        <v>1.6</v>
      </c>
      <c r="K123" s="13">
        <f t="shared" si="25"/>
        <v>215.64000000000001</v>
      </c>
      <c r="L123" s="14">
        <f t="shared" si="26"/>
        <v>0</v>
      </c>
      <c r="M123" s="14">
        <f t="shared" si="27"/>
        <v>2.642007926023778</v>
      </c>
    </row>
    <row r="124" spans="2:13" ht="12.75">
      <c r="B124" s="13" t="s">
        <v>93</v>
      </c>
      <c r="C124" s="13">
        <v>6382.65</v>
      </c>
      <c r="D124" s="13"/>
      <c r="E124" s="13"/>
      <c r="F124" s="13">
        <f t="shared" si="22"/>
        <v>6382.65</v>
      </c>
      <c r="G124" s="13">
        <v>175.14</v>
      </c>
      <c r="H124" s="13"/>
      <c r="I124" s="13">
        <f t="shared" si="23"/>
        <v>175.14</v>
      </c>
      <c r="J124" s="13">
        <f t="shared" si="24"/>
        <v>0</v>
      </c>
      <c r="K124" s="13">
        <f t="shared" si="25"/>
        <v>6557.79</v>
      </c>
      <c r="L124" s="14">
        <f t="shared" si="26"/>
        <v>0</v>
      </c>
      <c r="M124" s="14">
        <f t="shared" si="27"/>
        <v>0</v>
      </c>
    </row>
    <row r="125" spans="2:13" ht="12.75">
      <c r="B125" s="13" t="s">
        <v>94</v>
      </c>
      <c r="C125" s="13">
        <v>16933.82</v>
      </c>
      <c r="D125" s="13"/>
      <c r="E125" s="13"/>
      <c r="F125" s="13">
        <f t="shared" si="22"/>
        <v>16933.82</v>
      </c>
      <c r="G125" s="13">
        <v>1890.27</v>
      </c>
      <c r="H125" s="13">
        <v>119.31</v>
      </c>
      <c r="I125" s="13">
        <f t="shared" si="23"/>
        <v>1770.96</v>
      </c>
      <c r="J125" s="13">
        <f t="shared" si="24"/>
        <v>119.31</v>
      </c>
      <c r="K125" s="13">
        <f t="shared" si="25"/>
        <v>18704.78</v>
      </c>
      <c r="L125" s="14">
        <f t="shared" si="26"/>
        <v>0</v>
      </c>
      <c r="M125" s="14">
        <f t="shared" si="27"/>
        <v>6.311796727451634</v>
      </c>
    </row>
    <row r="126" spans="2:13" ht="12.75">
      <c r="B126" s="13" t="s">
        <v>95</v>
      </c>
      <c r="C126" s="13">
        <v>961.09</v>
      </c>
      <c r="D126" s="13"/>
      <c r="E126" s="13"/>
      <c r="F126" s="13">
        <f t="shared" si="22"/>
        <v>961.09</v>
      </c>
      <c r="G126" s="13">
        <v>279.45</v>
      </c>
      <c r="H126" s="13">
        <v>78.05</v>
      </c>
      <c r="I126" s="13">
        <f t="shared" si="23"/>
        <v>201.39999999999998</v>
      </c>
      <c r="J126" s="13">
        <f t="shared" si="24"/>
        <v>78.05</v>
      </c>
      <c r="K126" s="13">
        <f t="shared" si="25"/>
        <v>1162.49</v>
      </c>
      <c r="L126" s="14">
        <f t="shared" si="26"/>
        <v>0</v>
      </c>
      <c r="M126" s="14">
        <f t="shared" si="27"/>
        <v>27.92986222937914</v>
      </c>
    </row>
    <row r="127" spans="2:13" ht="12.75">
      <c r="B127" s="13" t="s">
        <v>96</v>
      </c>
      <c r="C127" s="13">
        <v>220.69</v>
      </c>
      <c r="D127" s="13"/>
      <c r="E127" s="13"/>
      <c r="F127" s="13">
        <f t="shared" si="22"/>
        <v>220.69</v>
      </c>
      <c r="G127" s="13">
        <v>86.16</v>
      </c>
      <c r="H127" s="13"/>
      <c r="I127" s="13">
        <f t="shared" si="23"/>
        <v>86.16</v>
      </c>
      <c r="J127" s="13">
        <f t="shared" si="24"/>
        <v>0</v>
      </c>
      <c r="K127" s="13">
        <f t="shared" si="25"/>
        <v>306.85</v>
      </c>
      <c r="L127" s="14">
        <f t="shared" si="26"/>
        <v>0</v>
      </c>
      <c r="M127" s="14">
        <f t="shared" si="27"/>
        <v>0</v>
      </c>
    </row>
    <row r="128" spans="2:13" ht="12.75">
      <c r="B128" s="13" t="s">
        <v>97</v>
      </c>
      <c r="C128" s="13">
        <v>424.66</v>
      </c>
      <c r="D128" s="13"/>
      <c r="E128" s="13"/>
      <c r="F128" s="13">
        <f t="shared" si="22"/>
        <v>424.66</v>
      </c>
      <c r="G128" s="13">
        <v>3.98</v>
      </c>
      <c r="H128" s="13"/>
      <c r="I128" s="13">
        <f t="shared" si="23"/>
        <v>3.98</v>
      </c>
      <c r="J128" s="13">
        <f t="shared" si="24"/>
        <v>0</v>
      </c>
      <c r="K128" s="13">
        <f t="shared" si="25"/>
        <v>428.64000000000004</v>
      </c>
      <c r="L128" s="14">
        <f t="shared" si="26"/>
        <v>0</v>
      </c>
      <c r="M128" s="14">
        <f t="shared" si="27"/>
        <v>0</v>
      </c>
    </row>
    <row r="129" spans="2:13" ht="12.75">
      <c r="B129" s="13" t="s">
        <v>98</v>
      </c>
      <c r="C129" s="13">
        <v>215.04</v>
      </c>
      <c r="D129" s="13"/>
      <c r="E129" s="13"/>
      <c r="F129" s="13">
        <f t="shared" si="22"/>
        <v>215.04</v>
      </c>
      <c r="G129" s="13"/>
      <c r="H129" s="13"/>
      <c r="I129" s="13">
        <f t="shared" si="23"/>
        <v>0</v>
      </c>
      <c r="J129" s="13">
        <f t="shared" si="24"/>
        <v>0</v>
      </c>
      <c r="K129" s="13">
        <f t="shared" si="25"/>
        <v>215.04</v>
      </c>
      <c r="L129" s="14">
        <f t="shared" si="26"/>
        <v>0</v>
      </c>
      <c r="M129" s="14" t="e">
        <f t="shared" si="27"/>
        <v>#DIV/0!</v>
      </c>
    </row>
    <row r="130" spans="2:13" ht="12.75">
      <c r="B130" s="13" t="s">
        <v>99</v>
      </c>
      <c r="C130" s="13">
        <v>332.1</v>
      </c>
      <c r="D130" s="13"/>
      <c r="E130" s="13"/>
      <c r="F130" s="13">
        <f t="shared" si="22"/>
        <v>332.1</v>
      </c>
      <c r="G130" s="13">
        <v>35.24</v>
      </c>
      <c r="H130" s="13"/>
      <c r="I130" s="13">
        <f t="shared" si="23"/>
        <v>35.24</v>
      </c>
      <c r="J130" s="13">
        <f t="shared" si="24"/>
        <v>0</v>
      </c>
      <c r="K130" s="13">
        <f t="shared" si="25"/>
        <v>367.34000000000003</v>
      </c>
      <c r="L130" s="14">
        <f t="shared" si="26"/>
        <v>0</v>
      </c>
      <c r="M130" s="14">
        <f t="shared" si="27"/>
        <v>0</v>
      </c>
    </row>
    <row r="131" spans="2:13" ht="12.75">
      <c r="B131" s="13" t="s">
        <v>100</v>
      </c>
      <c r="C131" s="13">
        <v>131.55</v>
      </c>
      <c r="D131" s="13"/>
      <c r="E131" s="13"/>
      <c r="F131" s="13">
        <f t="shared" si="22"/>
        <v>131.55</v>
      </c>
      <c r="G131" s="13"/>
      <c r="H131" s="13"/>
      <c r="I131" s="13">
        <f t="shared" si="23"/>
        <v>0</v>
      </c>
      <c r="J131" s="13">
        <f t="shared" si="24"/>
        <v>0</v>
      </c>
      <c r="K131" s="13">
        <f t="shared" si="25"/>
        <v>131.55</v>
      </c>
      <c r="L131" s="14">
        <f t="shared" si="26"/>
        <v>0</v>
      </c>
      <c r="M131" s="14" t="e">
        <f t="shared" si="27"/>
        <v>#DIV/0!</v>
      </c>
    </row>
    <row r="132" spans="2:13" ht="12.75">
      <c r="B132" s="13" t="s">
        <v>101</v>
      </c>
      <c r="C132" s="13">
        <v>68510.77</v>
      </c>
      <c r="D132" s="13"/>
      <c r="E132" s="13"/>
      <c r="F132" s="13">
        <f t="shared" si="22"/>
        <v>68510.77</v>
      </c>
      <c r="G132" s="13">
        <v>25834.73</v>
      </c>
      <c r="H132" s="13">
        <v>17251.02</v>
      </c>
      <c r="I132" s="13">
        <f t="shared" si="23"/>
        <v>8583.71</v>
      </c>
      <c r="J132" s="13">
        <f t="shared" si="24"/>
        <v>17251.02</v>
      </c>
      <c r="K132" s="13">
        <f t="shared" si="25"/>
        <v>77094.48000000001</v>
      </c>
      <c r="L132" s="14">
        <f t="shared" si="26"/>
        <v>0</v>
      </c>
      <c r="M132" s="14">
        <f t="shared" si="27"/>
        <v>66.77453180273221</v>
      </c>
    </row>
    <row r="133" spans="2:13" ht="12.75">
      <c r="B133" s="13" t="s">
        <v>102</v>
      </c>
      <c r="C133" s="13">
        <v>3257.19</v>
      </c>
      <c r="D133" s="13"/>
      <c r="E133" s="13"/>
      <c r="F133" s="13">
        <f t="shared" si="22"/>
        <v>3257.19</v>
      </c>
      <c r="G133" s="13">
        <v>814.5</v>
      </c>
      <c r="H133" s="13">
        <v>482.91</v>
      </c>
      <c r="I133" s="13">
        <f t="shared" si="23"/>
        <v>331.59</v>
      </c>
      <c r="J133" s="13">
        <f t="shared" si="24"/>
        <v>482.91</v>
      </c>
      <c r="K133" s="13">
        <f t="shared" si="25"/>
        <v>3588.78</v>
      </c>
      <c r="L133" s="14">
        <f t="shared" si="26"/>
        <v>0</v>
      </c>
      <c r="M133" s="14">
        <f t="shared" si="27"/>
        <v>59.289134438305716</v>
      </c>
    </row>
    <row r="134" spans="2:13" ht="12.75">
      <c r="B134" s="13" t="s">
        <v>103</v>
      </c>
      <c r="C134" s="13">
        <v>113.7</v>
      </c>
      <c r="D134" s="13"/>
      <c r="E134" s="13"/>
      <c r="F134" s="13">
        <f t="shared" si="22"/>
        <v>113.7</v>
      </c>
      <c r="G134" s="13">
        <v>8.36</v>
      </c>
      <c r="H134" s="13"/>
      <c r="I134" s="13">
        <f t="shared" si="23"/>
        <v>8.36</v>
      </c>
      <c r="J134" s="13">
        <f t="shared" si="24"/>
        <v>0</v>
      </c>
      <c r="K134" s="13">
        <f t="shared" si="25"/>
        <v>122.06</v>
      </c>
      <c r="L134" s="14">
        <f t="shared" si="26"/>
        <v>0</v>
      </c>
      <c r="M134" s="14">
        <f t="shared" si="27"/>
        <v>0</v>
      </c>
    </row>
    <row r="135" spans="2:13" ht="12.75">
      <c r="B135" s="13" t="s">
        <v>104</v>
      </c>
      <c r="C135" s="13">
        <v>134.58</v>
      </c>
      <c r="D135" s="13"/>
      <c r="E135" s="13"/>
      <c r="F135" s="13">
        <f>C135-D135-E135</f>
        <v>134.58</v>
      </c>
      <c r="G135" s="13">
        <v>8.78</v>
      </c>
      <c r="H135" s="13"/>
      <c r="I135" s="13">
        <f t="shared" si="23"/>
        <v>8.78</v>
      </c>
      <c r="J135" s="13">
        <f t="shared" si="24"/>
        <v>0</v>
      </c>
      <c r="K135" s="13">
        <f t="shared" si="25"/>
        <v>143.36</v>
      </c>
      <c r="L135" s="14">
        <f t="shared" si="26"/>
        <v>0</v>
      </c>
      <c r="M135" s="14">
        <f t="shared" si="27"/>
        <v>0</v>
      </c>
    </row>
    <row r="136" spans="2:13" ht="12.75">
      <c r="B136" s="13" t="s">
        <v>120</v>
      </c>
      <c r="C136" s="13">
        <f aca="true" t="shared" si="28" ref="C136:K136">SUM(C114:C135)</f>
        <v>99744.38</v>
      </c>
      <c r="D136" s="13">
        <f t="shared" si="28"/>
        <v>0</v>
      </c>
      <c r="E136" s="13">
        <f t="shared" si="28"/>
        <v>0</v>
      </c>
      <c r="F136" s="13">
        <f t="shared" si="28"/>
        <v>99744.38</v>
      </c>
      <c r="G136" s="13"/>
      <c r="H136" s="13"/>
      <c r="I136" s="13">
        <f t="shared" si="28"/>
        <v>11759.37</v>
      </c>
      <c r="J136" s="13">
        <f t="shared" si="24"/>
        <v>0</v>
      </c>
      <c r="K136" s="13">
        <f t="shared" si="28"/>
        <v>111503.75</v>
      </c>
      <c r="L136" s="14">
        <f t="shared" si="26"/>
        <v>0</v>
      </c>
      <c r="M136" s="14" t="e">
        <f t="shared" si="27"/>
        <v>#DIV/0!</v>
      </c>
    </row>
    <row r="137" spans="2:13" ht="12.75">
      <c r="B137" s="13" t="s">
        <v>109</v>
      </c>
      <c r="C137" s="13">
        <f aca="true" t="shared" si="29" ref="C137:K137">C105+C136</f>
        <v>326662.37</v>
      </c>
      <c r="D137" s="13">
        <f t="shared" si="29"/>
        <v>835.01</v>
      </c>
      <c r="E137" s="13">
        <f t="shared" si="29"/>
        <v>8.469999999999999</v>
      </c>
      <c r="F137" s="13">
        <f t="shared" si="29"/>
        <v>325818.89</v>
      </c>
      <c r="G137" s="13">
        <f t="shared" si="29"/>
        <v>106471.12000000001</v>
      </c>
      <c r="H137" s="13">
        <f t="shared" si="29"/>
        <v>14241.1</v>
      </c>
      <c r="I137" s="13">
        <f t="shared" si="29"/>
        <v>103989.39000000001</v>
      </c>
      <c r="J137" s="13">
        <f t="shared" si="24"/>
        <v>15076.11</v>
      </c>
      <c r="K137" s="13">
        <f t="shared" si="29"/>
        <v>429808.28</v>
      </c>
      <c r="L137" s="14">
        <f t="shared" si="26"/>
        <v>0.2582115595377576</v>
      </c>
      <c r="M137" s="14">
        <f t="shared" si="27"/>
        <v>13.37555198066856</v>
      </c>
    </row>
  </sheetData>
  <mergeCells count="4">
    <mergeCell ref="B3:M3"/>
    <mergeCell ref="B5:M5"/>
    <mergeCell ref="B75:M75"/>
    <mergeCell ref="B77:M77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R140"/>
  <sheetViews>
    <sheetView workbookViewId="0" topLeftCell="A78">
      <selection activeCell="C105" sqref="C105"/>
    </sheetView>
  </sheetViews>
  <sheetFormatPr defaultColWidth="9.140625" defaultRowHeight="12.75"/>
  <cols>
    <col min="1" max="1" width="1.421875" style="0" customWidth="1"/>
    <col min="2" max="2" width="25.140625" style="0" customWidth="1"/>
    <col min="3" max="4" width="11.421875" style="0" customWidth="1"/>
    <col min="5" max="5" width="9.57421875" style="0" customWidth="1"/>
    <col min="6" max="6" width="11.57421875" style="0" customWidth="1"/>
    <col min="7" max="7" width="11.421875" style="0" customWidth="1"/>
    <col min="8" max="8" width="10.140625" style="0" customWidth="1"/>
    <col min="9" max="9" width="12.00390625" style="0" customWidth="1"/>
    <col min="10" max="10" width="11.7109375" style="0" customWidth="1"/>
    <col min="11" max="11" width="11.140625" style="0" customWidth="1"/>
    <col min="12" max="12" width="10.57421875" style="0" customWidth="1"/>
    <col min="13" max="13" width="10.00390625" style="0" customWidth="1"/>
    <col min="15" max="15" width="12.57421875" style="0" bestFit="1" customWidth="1"/>
    <col min="16" max="17" width="9.8515625" style="0" bestFit="1" customWidth="1"/>
    <col min="18" max="18" width="11.00390625" style="0" bestFit="1" customWidth="1"/>
  </cols>
  <sheetData>
    <row r="2" ht="12.75">
      <c r="K2" s="1" t="s">
        <v>177</v>
      </c>
    </row>
    <row r="3" spans="2:13" ht="15.75">
      <c r="B3" s="168" t="s">
        <v>48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5" spans="2:13" ht="12.75">
      <c r="B5" s="163" t="s">
        <v>184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4" ht="12.75">
      <c r="B8" s="111" t="s">
        <v>107</v>
      </c>
      <c r="C8" s="51"/>
      <c r="D8" s="51"/>
    </row>
    <row r="9" spans="2:13" ht="12.75">
      <c r="B9" s="20"/>
      <c r="C9" s="49" t="s">
        <v>68</v>
      </c>
      <c r="D9" s="49" t="s">
        <v>74</v>
      </c>
      <c r="E9" s="49" t="s">
        <v>72</v>
      </c>
      <c r="F9" s="49" t="s">
        <v>75</v>
      </c>
      <c r="G9" s="49" t="s">
        <v>78</v>
      </c>
      <c r="H9" s="49" t="s">
        <v>74</v>
      </c>
      <c r="I9" s="49" t="s">
        <v>75</v>
      </c>
      <c r="J9" s="49" t="s">
        <v>117</v>
      </c>
      <c r="K9" s="49" t="s">
        <v>82</v>
      </c>
      <c r="L9" s="49" t="s">
        <v>105</v>
      </c>
      <c r="M9" s="49" t="s">
        <v>105</v>
      </c>
    </row>
    <row r="10" spans="2:13" ht="12.75">
      <c r="B10" s="6" t="s">
        <v>67</v>
      </c>
      <c r="C10" s="6" t="s">
        <v>69</v>
      </c>
      <c r="D10" s="6" t="s">
        <v>70</v>
      </c>
      <c r="E10" s="6" t="s">
        <v>124</v>
      </c>
      <c r="F10" s="6" t="s">
        <v>76</v>
      </c>
      <c r="G10" s="6" t="s">
        <v>80</v>
      </c>
      <c r="H10" s="6" t="s">
        <v>80</v>
      </c>
      <c r="I10" s="6" t="s">
        <v>76</v>
      </c>
      <c r="J10" s="6" t="s">
        <v>125</v>
      </c>
      <c r="K10" s="6" t="s">
        <v>76</v>
      </c>
      <c r="L10" s="6" t="s">
        <v>73</v>
      </c>
      <c r="M10" s="6" t="s">
        <v>78</v>
      </c>
    </row>
    <row r="11" spans="2:13" ht="12.75">
      <c r="B11" s="41"/>
      <c r="C11" s="50"/>
      <c r="D11" s="50" t="s">
        <v>71</v>
      </c>
      <c r="E11" s="50" t="s">
        <v>123</v>
      </c>
      <c r="F11" s="50" t="s">
        <v>77</v>
      </c>
      <c r="G11" s="50" t="s">
        <v>81</v>
      </c>
      <c r="H11" s="50" t="s">
        <v>81</v>
      </c>
      <c r="I11" s="50" t="s">
        <v>79</v>
      </c>
      <c r="J11" s="50" t="s">
        <v>119</v>
      </c>
      <c r="K11" s="50"/>
      <c r="L11" s="50" t="s">
        <v>106</v>
      </c>
      <c r="M11" s="50" t="s">
        <v>106</v>
      </c>
    </row>
    <row r="12" spans="2:13" ht="12.75">
      <c r="B12" s="13" t="s">
        <v>83</v>
      </c>
      <c r="C12" s="13">
        <v>2143.12</v>
      </c>
      <c r="D12" s="13">
        <v>1326.07</v>
      </c>
      <c r="E12" s="13">
        <v>43.31</v>
      </c>
      <c r="F12" s="13">
        <f>C12-D12-E12</f>
        <v>773.74</v>
      </c>
      <c r="G12" s="13">
        <v>1421.46</v>
      </c>
      <c r="H12" s="14">
        <v>391.9</v>
      </c>
      <c r="I12" s="13">
        <f>G12-H12</f>
        <v>1029.56</v>
      </c>
      <c r="J12" s="13">
        <f>D12+H12</f>
        <v>1717.9699999999998</v>
      </c>
      <c r="K12" s="14">
        <f>F12+I12</f>
        <v>1803.3</v>
      </c>
      <c r="L12" s="14">
        <f>SUM(D12+E12)/C12%</f>
        <v>63.89656202172533</v>
      </c>
      <c r="M12" s="14">
        <f>SUM(H12/G12%)</f>
        <v>27.570244678007118</v>
      </c>
    </row>
    <row r="13" spans="2:13" ht="12.75">
      <c r="B13" s="13" t="s">
        <v>84</v>
      </c>
      <c r="C13" s="14">
        <v>1635.87</v>
      </c>
      <c r="D13" s="13">
        <v>1252.03</v>
      </c>
      <c r="E13" s="13">
        <v>40.87</v>
      </c>
      <c r="F13" s="13">
        <f>C13-D13-E13</f>
        <v>342.9699999999999</v>
      </c>
      <c r="G13" s="13">
        <v>563.93</v>
      </c>
      <c r="H13" s="14">
        <v>192.99</v>
      </c>
      <c r="I13" s="13">
        <f aca="true" t="shared" si="0" ref="I13:I33">G13-H13</f>
        <v>370.93999999999994</v>
      </c>
      <c r="J13" s="13">
        <f aca="true" t="shared" si="1" ref="J13:J33">D13+H13</f>
        <v>1445.02</v>
      </c>
      <c r="K13" s="13">
        <f aca="true" t="shared" si="2" ref="K13:K33">F13+I13</f>
        <v>713.9099999999999</v>
      </c>
      <c r="L13" s="14">
        <f aca="true" t="shared" si="3" ref="L13:L34">SUM(D13+E13)/C13%</f>
        <v>79.0343975988312</v>
      </c>
      <c r="M13" s="14">
        <f aca="true" t="shared" si="4" ref="M13:M34">SUM(H13/G13%)</f>
        <v>34.22233255900556</v>
      </c>
    </row>
    <row r="14" spans="2:13" ht="12.75">
      <c r="B14" s="13" t="s">
        <v>85</v>
      </c>
      <c r="C14" s="13">
        <v>1738.07</v>
      </c>
      <c r="D14" s="13">
        <v>1261.36</v>
      </c>
      <c r="E14" s="13">
        <v>35.32</v>
      </c>
      <c r="F14" s="14">
        <f>C14-D14-E14</f>
        <v>441.39000000000004</v>
      </c>
      <c r="G14" s="13">
        <v>937.8</v>
      </c>
      <c r="H14" s="14">
        <v>341.23</v>
      </c>
      <c r="I14" s="13">
        <f t="shared" si="0"/>
        <v>596.5699999999999</v>
      </c>
      <c r="J14" s="13">
        <f t="shared" si="1"/>
        <v>1602.59</v>
      </c>
      <c r="K14" s="13">
        <f t="shared" si="2"/>
        <v>1037.96</v>
      </c>
      <c r="L14" s="14">
        <f t="shared" si="3"/>
        <v>74.60459014884324</v>
      </c>
      <c r="M14" s="14">
        <f t="shared" si="4"/>
        <v>36.38622307528258</v>
      </c>
    </row>
    <row r="15" spans="2:13" ht="12.75">
      <c r="B15" s="13" t="s">
        <v>86</v>
      </c>
      <c r="C15" s="13">
        <v>2401.43</v>
      </c>
      <c r="D15" s="14">
        <v>1628.73</v>
      </c>
      <c r="E15" s="13">
        <v>45.35</v>
      </c>
      <c r="F15" s="13">
        <f aca="true" t="shared" si="5" ref="F15:F33">C15-D15-E15</f>
        <v>727.3499999999998</v>
      </c>
      <c r="G15" s="13">
        <v>1532.38</v>
      </c>
      <c r="H15" s="13">
        <v>528.43</v>
      </c>
      <c r="I15" s="13">
        <f t="shared" si="0"/>
        <v>1003.9500000000002</v>
      </c>
      <c r="J15" s="14">
        <f t="shared" si="1"/>
        <v>2157.16</v>
      </c>
      <c r="K15" s="13">
        <f t="shared" si="2"/>
        <v>1731.3</v>
      </c>
      <c r="L15" s="14">
        <f t="shared" si="3"/>
        <v>69.71179672112034</v>
      </c>
      <c r="M15" s="14">
        <f t="shared" si="4"/>
        <v>34.48426630470249</v>
      </c>
    </row>
    <row r="16" spans="2:13" ht="12.75">
      <c r="B16" s="13" t="s">
        <v>87</v>
      </c>
      <c r="C16" s="13">
        <v>2375.43</v>
      </c>
      <c r="D16" s="14">
        <v>1207.26</v>
      </c>
      <c r="E16" s="13">
        <v>34.32</v>
      </c>
      <c r="F16" s="14">
        <f t="shared" si="5"/>
        <v>1133.85</v>
      </c>
      <c r="G16" s="14">
        <v>3363.7</v>
      </c>
      <c r="H16" s="13">
        <v>932.18</v>
      </c>
      <c r="I16" s="14">
        <f t="shared" si="0"/>
        <v>2431.52</v>
      </c>
      <c r="J16" s="14">
        <f t="shared" si="1"/>
        <v>2139.44</v>
      </c>
      <c r="K16" s="13">
        <f t="shared" si="2"/>
        <v>3565.37</v>
      </c>
      <c r="L16" s="14">
        <f t="shared" si="3"/>
        <v>52.26758944696329</v>
      </c>
      <c r="M16" s="14">
        <f t="shared" si="4"/>
        <v>27.712935160686147</v>
      </c>
    </row>
    <row r="17" spans="2:13" ht="12.75">
      <c r="B17" s="13" t="s">
        <v>88</v>
      </c>
      <c r="C17" s="13">
        <v>1559.76</v>
      </c>
      <c r="D17" s="14">
        <v>1149.63</v>
      </c>
      <c r="E17" s="13">
        <v>39.61</v>
      </c>
      <c r="F17" s="13">
        <f t="shared" si="5"/>
        <v>370.51999999999987</v>
      </c>
      <c r="G17" s="13">
        <v>812.9</v>
      </c>
      <c r="H17" s="14">
        <v>367.8</v>
      </c>
      <c r="I17" s="14">
        <f t="shared" si="0"/>
        <v>445.09999999999997</v>
      </c>
      <c r="J17" s="13">
        <f t="shared" si="1"/>
        <v>1517.43</v>
      </c>
      <c r="K17" s="13">
        <f t="shared" si="2"/>
        <v>815.6199999999999</v>
      </c>
      <c r="L17" s="14">
        <f t="shared" si="3"/>
        <v>76.24506334307843</v>
      </c>
      <c r="M17" s="14">
        <f t="shared" si="4"/>
        <v>45.245417640546194</v>
      </c>
    </row>
    <row r="18" spans="2:13" ht="12.75">
      <c r="B18" s="13" t="s">
        <v>89</v>
      </c>
      <c r="C18" s="14">
        <v>446.7</v>
      </c>
      <c r="D18" s="13">
        <v>267.33</v>
      </c>
      <c r="E18" s="13">
        <v>6.92</v>
      </c>
      <c r="F18" s="14">
        <f t="shared" si="5"/>
        <v>172.45000000000002</v>
      </c>
      <c r="G18" s="13">
        <v>468.95</v>
      </c>
      <c r="H18" s="13">
        <v>243.21</v>
      </c>
      <c r="I18" s="14">
        <f t="shared" si="0"/>
        <v>225.73999999999998</v>
      </c>
      <c r="J18" s="13">
        <f t="shared" si="1"/>
        <v>510.53999999999996</v>
      </c>
      <c r="K18" s="14">
        <f t="shared" si="2"/>
        <v>398.19</v>
      </c>
      <c r="L18" s="14">
        <f t="shared" si="3"/>
        <v>61.39467203940005</v>
      </c>
      <c r="M18" s="14">
        <f t="shared" si="4"/>
        <v>51.86267192664464</v>
      </c>
    </row>
    <row r="19" spans="2:13" ht="12.75">
      <c r="B19" s="13" t="s">
        <v>90</v>
      </c>
      <c r="C19" s="13">
        <v>1761.32</v>
      </c>
      <c r="D19" s="13">
        <v>1291.06</v>
      </c>
      <c r="E19" s="13">
        <v>35.61</v>
      </c>
      <c r="F19" s="14">
        <f t="shared" si="5"/>
        <v>434.65</v>
      </c>
      <c r="G19" s="13">
        <v>1211.63</v>
      </c>
      <c r="H19" s="14">
        <v>546.1</v>
      </c>
      <c r="I19" s="14">
        <f t="shared" si="0"/>
        <v>665.5300000000001</v>
      </c>
      <c r="J19" s="14">
        <f t="shared" si="1"/>
        <v>1837.1599999999999</v>
      </c>
      <c r="K19" s="13">
        <f t="shared" si="2"/>
        <v>1100.18</v>
      </c>
      <c r="L19" s="14">
        <f t="shared" si="3"/>
        <v>75.32248540867076</v>
      </c>
      <c r="M19" s="14">
        <f t="shared" si="4"/>
        <v>45.071515231547586</v>
      </c>
    </row>
    <row r="20" spans="2:13" ht="12.75">
      <c r="B20" s="13" t="s">
        <v>91</v>
      </c>
      <c r="C20" s="14">
        <v>293.4</v>
      </c>
      <c r="D20" s="14">
        <v>213.93</v>
      </c>
      <c r="E20" s="13">
        <v>3.25</v>
      </c>
      <c r="F20" s="13">
        <f t="shared" si="5"/>
        <v>76.21999999999997</v>
      </c>
      <c r="G20" s="13">
        <v>210.22</v>
      </c>
      <c r="H20" s="13">
        <v>72.07</v>
      </c>
      <c r="I20" s="13">
        <f t="shared" si="0"/>
        <v>138.15</v>
      </c>
      <c r="J20" s="14">
        <f t="shared" si="1"/>
        <v>286</v>
      </c>
      <c r="K20" s="14">
        <f t="shared" si="2"/>
        <v>214.36999999999998</v>
      </c>
      <c r="L20" s="14">
        <f t="shared" si="3"/>
        <v>74.02181322426722</v>
      </c>
      <c r="M20" s="14">
        <f t="shared" si="4"/>
        <v>34.28313195699743</v>
      </c>
    </row>
    <row r="21" spans="2:13" ht="12.75">
      <c r="B21" s="13" t="s">
        <v>92</v>
      </c>
      <c r="C21" s="13">
        <v>941.75</v>
      </c>
      <c r="D21" s="13">
        <v>655.13</v>
      </c>
      <c r="E21" s="13">
        <v>17.11</v>
      </c>
      <c r="F21" s="14">
        <f t="shared" si="5"/>
        <v>269.51</v>
      </c>
      <c r="G21" s="13">
        <v>516.48</v>
      </c>
      <c r="H21" s="14">
        <v>224.96</v>
      </c>
      <c r="I21" s="13">
        <f t="shared" si="0"/>
        <v>291.52</v>
      </c>
      <c r="J21" s="13">
        <f t="shared" si="1"/>
        <v>880.09</v>
      </c>
      <c r="K21" s="13">
        <f t="shared" si="2"/>
        <v>561.03</v>
      </c>
      <c r="L21" s="14">
        <f t="shared" si="3"/>
        <v>71.3820015927794</v>
      </c>
      <c r="M21" s="14">
        <f t="shared" si="4"/>
        <v>43.556381660470876</v>
      </c>
    </row>
    <row r="22" spans="2:13" ht="12.75">
      <c r="B22" s="13" t="s">
        <v>93</v>
      </c>
      <c r="C22" s="13">
        <v>5304.77</v>
      </c>
      <c r="D22" s="13">
        <v>3245.76</v>
      </c>
      <c r="E22" s="14">
        <v>104.38</v>
      </c>
      <c r="F22" s="13">
        <f>C22-D22-E22</f>
        <v>1954.63</v>
      </c>
      <c r="G22" s="13">
        <v>4397.92</v>
      </c>
      <c r="H22" s="13">
        <v>1593.92</v>
      </c>
      <c r="I22" s="14">
        <f t="shared" si="0"/>
        <v>2804</v>
      </c>
      <c r="J22" s="14">
        <f t="shared" si="1"/>
        <v>4839.68</v>
      </c>
      <c r="K22" s="13">
        <f t="shared" si="2"/>
        <v>4758.63</v>
      </c>
      <c r="L22" s="14">
        <f t="shared" si="3"/>
        <v>63.153350663648</v>
      </c>
      <c r="M22" s="14">
        <f t="shared" si="4"/>
        <v>36.242587404955074</v>
      </c>
    </row>
    <row r="23" spans="2:13" ht="12.75">
      <c r="B23" s="13" t="s">
        <v>94</v>
      </c>
      <c r="C23" s="14">
        <v>5318.48</v>
      </c>
      <c r="D23" s="14">
        <v>3670.1</v>
      </c>
      <c r="E23" s="13">
        <v>106.93</v>
      </c>
      <c r="F23" s="13">
        <f t="shared" si="5"/>
        <v>1541.4499999999996</v>
      </c>
      <c r="G23" s="13">
        <v>3969.33</v>
      </c>
      <c r="H23" s="14">
        <v>2013.85</v>
      </c>
      <c r="I23" s="14">
        <f t="shared" si="0"/>
        <v>1955.48</v>
      </c>
      <c r="J23" s="13">
        <f t="shared" si="1"/>
        <v>5683.95</v>
      </c>
      <c r="K23" s="13">
        <f t="shared" si="2"/>
        <v>3496.9299999999994</v>
      </c>
      <c r="L23" s="14">
        <f t="shared" si="3"/>
        <v>71.01709510988103</v>
      </c>
      <c r="M23" s="14">
        <f t="shared" si="4"/>
        <v>50.73526262618628</v>
      </c>
    </row>
    <row r="24" spans="2:13" ht="12.75">
      <c r="B24" s="13" t="s">
        <v>95</v>
      </c>
      <c r="C24" s="13">
        <v>2510.48</v>
      </c>
      <c r="D24" s="13">
        <v>1800.91</v>
      </c>
      <c r="E24" s="13">
        <v>53.63</v>
      </c>
      <c r="F24" s="13">
        <f t="shared" si="5"/>
        <v>655.9399999999999</v>
      </c>
      <c r="G24" s="13">
        <v>1949.68</v>
      </c>
      <c r="H24" s="13">
        <v>896.94</v>
      </c>
      <c r="I24" s="14">
        <f t="shared" si="0"/>
        <v>1052.74</v>
      </c>
      <c r="J24" s="13">
        <f t="shared" si="1"/>
        <v>2697.8500000000004</v>
      </c>
      <c r="K24" s="13">
        <f t="shared" si="2"/>
        <v>1708.6799999999998</v>
      </c>
      <c r="L24" s="14">
        <f t="shared" si="3"/>
        <v>73.87192887415952</v>
      </c>
      <c r="M24" s="14">
        <f t="shared" si="4"/>
        <v>46.00447252882525</v>
      </c>
    </row>
    <row r="25" spans="2:13" ht="12.75">
      <c r="B25" s="13" t="s">
        <v>96</v>
      </c>
      <c r="C25" s="13">
        <v>254.85</v>
      </c>
      <c r="D25" s="13">
        <v>172.87</v>
      </c>
      <c r="E25" s="13">
        <v>3.57</v>
      </c>
      <c r="F25" s="13">
        <f t="shared" si="5"/>
        <v>78.41</v>
      </c>
      <c r="G25" s="13">
        <v>164.75</v>
      </c>
      <c r="H25" s="13">
        <v>92.1</v>
      </c>
      <c r="I25" s="13">
        <f t="shared" si="0"/>
        <v>72.65</v>
      </c>
      <c r="J25" s="14">
        <f t="shared" si="1"/>
        <v>264.97</v>
      </c>
      <c r="K25" s="13">
        <f t="shared" si="2"/>
        <v>151.06</v>
      </c>
      <c r="L25" s="14">
        <f t="shared" si="3"/>
        <v>69.23288208750246</v>
      </c>
      <c r="M25" s="14">
        <f t="shared" si="4"/>
        <v>55.90288315629742</v>
      </c>
    </row>
    <row r="26" spans="2:13" ht="12.75">
      <c r="B26" s="13" t="s">
        <v>97</v>
      </c>
      <c r="C26" s="13">
        <v>1109.66</v>
      </c>
      <c r="D26" s="13">
        <v>846.61</v>
      </c>
      <c r="E26" s="14">
        <v>30.8</v>
      </c>
      <c r="F26" s="13">
        <f t="shared" si="5"/>
        <v>232.25000000000006</v>
      </c>
      <c r="G26" s="14">
        <v>277.4</v>
      </c>
      <c r="H26" s="14">
        <v>147.65</v>
      </c>
      <c r="I26" s="14">
        <f t="shared" si="0"/>
        <v>129.74999999999997</v>
      </c>
      <c r="J26" s="13">
        <f t="shared" si="1"/>
        <v>994.26</v>
      </c>
      <c r="K26" s="13">
        <f t="shared" si="2"/>
        <v>362</v>
      </c>
      <c r="L26" s="14">
        <f t="shared" si="3"/>
        <v>79.07016563632104</v>
      </c>
      <c r="M26" s="14">
        <f t="shared" si="4"/>
        <v>53.226387887527046</v>
      </c>
    </row>
    <row r="27" spans="2:13" ht="12.75">
      <c r="B27" s="13" t="s">
        <v>98</v>
      </c>
      <c r="C27" s="13">
        <v>1043.63</v>
      </c>
      <c r="D27" s="13">
        <v>732.56</v>
      </c>
      <c r="E27" s="13">
        <v>23.01</v>
      </c>
      <c r="F27" s="14">
        <f t="shared" si="5"/>
        <v>288.0600000000002</v>
      </c>
      <c r="G27" s="13">
        <v>674.19</v>
      </c>
      <c r="H27" s="14">
        <v>256.02</v>
      </c>
      <c r="I27" s="13">
        <f t="shared" si="0"/>
        <v>418.1700000000001</v>
      </c>
      <c r="J27" s="13">
        <f t="shared" si="1"/>
        <v>988.5799999999999</v>
      </c>
      <c r="K27" s="13">
        <f t="shared" si="2"/>
        <v>706.2300000000002</v>
      </c>
      <c r="L27" s="14">
        <f t="shared" si="3"/>
        <v>72.39826375247931</v>
      </c>
      <c r="M27" s="14">
        <f t="shared" si="4"/>
        <v>37.97445823877541</v>
      </c>
    </row>
    <row r="28" spans="2:13" ht="12.75">
      <c r="B28" s="13" t="s">
        <v>99</v>
      </c>
      <c r="C28" s="13">
        <v>2252.42</v>
      </c>
      <c r="D28" s="13">
        <v>1625.28</v>
      </c>
      <c r="E28" s="14">
        <v>52.2</v>
      </c>
      <c r="F28" s="13">
        <f t="shared" si="5"/>
        <v>574.94</v>
      </c>
      <c r="G28" s="13">
        <v>1322.27</v>
      </c>
      <c r="H28" s="13">
        <v>556.12</v>
      </c>
      <c r="I28" s="13">
        <f t="shared" si="0"/>
        <v>766.15</v>
      </c>
      <c r="J28" s="13">
        <f t="shared" si="1"/>
        <v>2181.4</v>
      </c>
      <c r="K28" s="14">
        <f t="shared" si="2"/>
        <v>1341.0900000000001</v>
      </c>
      <c r="L28" s="14">
        <f t="shared" si="3"/>
        <v>74.4745651343888</v>
      </c>
      <c r="M28" s="14">
        <f t="shared" si="4"/>
        <v>42.05797605632738</v>
      </c>
    </row>
    <row r="29" spans="2:13" ht="12.75">
      <c r="B29" s="13" t="s">
        <v>100</v>
      </c>
      <c r="C29" s="14">
        <v>1463.81</v>
      </c>
      <c r="D29" s="13">
        <v>1169.21</v>
      </c>
      <c r="E29" s="13">
        <v>40.63</v>
      </c>
      <c r="F29" s="13">
        <f t="shared" si="5"/>
        <v>253.9699999999999</v>
      </c>
      <c r="G29" s="13">
        <v>568.27</v>
      </c>
      <c r="H29" s="13">
        <v>283.87</v>
      </c>
      <c r="I29" s="14">
        <f t="shared" si="0"/>
        <v>284.4</v>
      </c>
      <c r="J29" s="13">
        <f t="shared" si="1"/>
        <v>1453.08</v>
      </c>
      <c r="K29" s="13">
        <f t="shared" si="2"/>
        <v>538.3699999999999</v>
      </c>
      <c r="L29" s="14">
        <f t="shared" si="3"/>
        <v>82.65007070589763</v>
      </c>
      <c r="M29" s="14">
        <f t="shared" si="4"/>
        <v>49.953367237404755</v>
      </c>
    </row>
    <row r="30" spans="2:13" ht="12.75">
      <c r="B30" s="13" t="s">
        <v>101</v>
      </c>
      <c r="C30" s="13">
        <v>30567.76</v>
      </c>
      <c r="D30" s="13">
        <v>21460.94</v>
      </c>
      <c r="E30" s="13">
        <v>558.22</v>
      </c>
      <c r="F30" s="14">
        <f t="shared" si="5"/>
        <v>8548.6</v>
      </c>
      <c r="G30" s="14">
        <v>13730.88</v>
      </c>
      <c r="H30" s="13">
        <f>6055.7+5870.77</f>
        <v>11926.470000000001</v>
      </c>
      <c r="I30" s="14">
        <f t="shared" si="0"/>
        <v>1804.409999999998</v>
      </c>
      <c r="J30" s="13">
        <f t="shared" si="1"/>
        <v>33387.41</v>
      </c>
      <c r="K30" s="13">
        <f t="shared" si="2"/>
        <v>10353.009999999998</v>
      </c>
      <c r="L30" s="14">
        <f t="shared" si="3"/>
        <v>72.03393379168118</v>
      </c>
      <c r="M30" s="14">
        <f t="shared" si="4"/>
        <v>86.85874466895058</v>
      </c>
    </row>
    <row r="31" spans="2:13" ht="12.75">
      <c r="B31" s="13" t="s">
        <v>102</v>
      </c>
      <c r="C31" s="14">
        <v>6233.47</v>
      </c>
      <c r="D31" s="13">
        <v>4363.69</v>
      </c>
      <c r="E31" s="14">
        <v>134.88</v>
      </c>
      <c r="F31" s="14">
        <f t="shared" si="5"/>
        <v>1734.9000000000005</v>
      </c>
      <c r="G31" s="13">
        <v>4599.51</v>
      </c>
      <c r="H31" s="13">
        <v>1660.09</v>
      </c>
      <c r="I31" s="14">
        <f t="shared" si="0"/>
        <v>2939.42</v>
      </c>
      <c r="J31" s="13">
        <f t="shared" si="1"/>
        <v>6023.78</v>
      </c>
      <c r="K31" s="14">
        <f t="shared" si="2"/>
        <v>4674.320000000001</v>
      </c>
      <c r="L31" s="14">
        <f t="shared" si="3"/>
        <v>72.16798989968667</v>
      </c>
      <c r="M31" s="14">
        <f t="shared" si="4"/>
        <v>36.0927577067992</v>
      </c>
    </row>
    <row r="32" spans="2:13" ht="12.75">
      <c r="B32" s="13" t="s">
        <v>103</v>
      </c>
      <c r="C32" s="13">
        <v>563.4</v>
      </c>
      <c r="D32" s="13">
        <v>340.51</v>
      </c>
      <c r="E32" s="13">
        <v>9.33</v>
      </c>
      <c r="F32" s="14">
        <f t="shared" si="5"/>
        <v>213.55999999999997</v>
      </c>
      <c r="G32" s="14">
        <v>388.81</v>
      </c>
      <c r="H32" s="13">
        <v>92.67</v>
      </c>
      <c r="I32" s="13">
        <f t="shared" si="0"/>
        <v>296.14</v>
      </c>
      <c r="J32" s="13">
        <f t="shared" si="1"/>
        <v>433.18</v>
      </c>
      <c r="K32" s="13">
        <f t="shared" si="2"/>
        <v>509.69999999999993</v>
      </c>
      <c r="L32" s="14">
        <f t="shared" si="3"/>
        <v>62.09442669506567</v>
      </c>
      <c r="M32" s="14">
        <f t="shared" si="4"/>
        <v>23.834263522028753</v>
      </c>
    </row>
    <row r="33" spans="2:13" ht="12.75">
      <c r="B33" s="13" t="s">
        <v>104</v>
      </c>
      <c r="C33" s="14">
        <v>2664.23</v>
      </c>
      <c r="D33" s="13">
        <v>1772.57</v>
      </c>
      <c r="E33" s="13">
        <v>47.23</v>
      </c>
      <c r="F33" s="14">
        <f t="shared" si="5"/>
        <v>844.4300000000001</v>
      </c>
      <c r="G33" s="13">
        <v>2119.78</v>
      </c>
      <c r="H33" s="13">
        <v>873.21</v>
      </c>
      <c r="I33" s="14">
        <f t="shared" si="0"/>
        <v>1246.5700000000002</v>
      </c>
      <c r="J33" s="13">
        <f t="shared" si="1"/>
        <v>2645.7799999999997</v>
      </c>
      <c r="K33" s="13">
        <f t="shared" si="2"/>
        <v>2091</v>
      </c>
      <c r="L33" s="14">
        <f t="shared" si="3"/>
        <v>68.30491361481553</v>
      </c>
      <c r="M33" s="14">
        <f t="shared" si="4"/>
        <v>41.19342573285907</v>
      </c>
    </row>
    <row r="34" spans="2:13" ht="12.75">
      <c r="B34" s="11" t="s">
        <v>155</v>
      </c>
      <c r="C34" s="11">
        <f aca="true" t="shared" si="6" ref="C34:K34">SUM(C12:C33)</f>
        <v>74583.80999999998</v>
      </c>
      <c r="D34" s="11">
        <f t="shared" si="6"/>
        <v>51453.54</v>
      </c>
      <c r="E34" s="11">
        <f t="shared" si="6"/>
        <v>1466.48</v>
      </c>
      <c r="F34" s="11">
        <f t="shared" si="6"/>
        <v>21663.790000000005</v>
      </c>
      <c r="G34" s="11">
        <f t="shared" si="6"/>
        <v>45202.24</v>
      </c>
      <c r="H34" s="11">
        <f t="shared" si="6"/>
        <v>24233.780000000002</v>
      </c>
      <c r="I34" s="11">
        <f t="shared" si="6"/>
        <v>20968.459999999992</v>
      </c>
      <c r="J34" s="11">
        <f>SUM(J12:J33)</f>
        <v>75687.32</v>
      </c>
      <c r="K34" s="11">
        <f t="shared" si="6"/>
        <v>42632.24999999999</v>
      </c>
      <c r="L34" s="24">
        <f t="shared" si="3"/>
        <v>70.95376328991509</v>
      </c>
      <c r="M34" s="24">
        <f t="shared" si="4"/>
        <v>53.611900649171375</v>
      </c>
    </row>
    <row r="39" spans="2:4" ht="12.75">
      <c r="B39" s="111" t="s">
        <v>110</v>
      </c>
      <c r="C39" s="51"/>
      <c r="D39" s="51"/>
    </row>
    <row r="40" spans="2:13" ht="12.75">
      <c r="B40" s="20"/>
      <c r="C40" s="49" t="s">
        <v>68</v>
      </c>
      <c r="D40" s="49" t="s">
        <v>74</v>
      </c>
      <c r="E40" s="49" t="s">
        <v>72</v>
      </c>
      <c r="F40" s="49" t="s">
        <v>75</v>
      </c>
      <c r="G40" s="49" t="s">
        <v>78</v>
      </c>
      <c r="H40" s="49" t="s">
        <v>74</v>
      </c>
      <c r="I40" s="49" t="s">
        <v>75</v>
      </c>
      <c r="J40" s="49" t="s">
        <v>117</v>
      </c>
      <c r="K40" s="49" t="s">
        <v>82</v>
      </c>
      <c r="L40" s="49" t="s">
        <v>183</v>
      </c>
      <c r="M40" s="49" t="s">
        <v>183</v>
      </c>
    </row>
    <row r="41" spans="2:13" ht="12.75">
      <c r="B41" s="6" t="s">
        <v>67</v>
      </c>
      <c r="C41" s="6" t="s">
        <v>178</v>
      </c>
      <c r="D41" s="6" t="s">
        <v>70</v>
      </c>
      <c r="E41" s="6" t="s">
        <v>124</v>
      </c>
      <c r="F41" s="6" t="s">
        <v>76</v>
      </c>
      <c r="G41" s="6" t="s">
        <v>80</v>
      </c>
      <c r="H41" s="6" t="s">
        <v>80</v>
      </c>
      <c r="I41" s="6" t="s">
        <v>76</v>
      </c>
      <c r="J41" s="6" t="s">
        <v>118</v>
      </c>
      <c r="K41" s="6" t="s">
        <v>76</v>
      </c>
      <c r="L41" s="6" t="s">
        <v>182</v>
      </c>
      <c r="M41" s="6" t="s">
        <v>78</v>
      </c>
    </row>
    <row r="42" spans="2:13" ht="12.75">
      <c r="B42" s="41"/>
      <c r="C42" s="50"/>
      <c r="D42" s="50" t="s">
        <v>179</v>
      </c>
      <c r="E42" s="50" t="s">
        <v>123</v>
      </c>
      <c r="F42" s="50" t="s">
        <v>180</v>
      </c>
      <c r="G42" s="50" t="s">
        <v>81</v>
      </c>
      <c r="H42" s="50" t="s">
        <v>81</v>
      </c>
      <c r="I42" s="50" t="s">
        <v>181</v>
      </c>
      <c r="J42" s="50" t="s">
        <v>119</v>
      </c>
      <c r="K42" s="50"/>
      <c r="L42" s="50" t="s">
        <v>106</v>
      </c>
      <c r="M42" s="50" t="s">
        <v>106</v>
      </c>
    </row>
    <row r="43" spans="2:13" ht="12.75">
      <c r="B43" s="13" t="s">
        <v>83</v>
      </c>
      <c r="C43" s="13">
        <v>60.86</v>
      </c>
      <c r="D43" s="14">
        <v>23.79</v>
      </c>
      <c r="E43" s="13">
        <v>1.01</v>
      </c>
      <c r="F43" s="13">
        <f aca="true" t="shared" si="7" ref="F43:F64">C43-D43-E43</f>
        <v>36.06</v>
      </c>
      <c r="G43" s="13">
        <v>26.55</v>
      </c>
      <c r="H43" s="13">
        <v>11.65</v>
      </c>
      <c r="I43" s="14">
        <f aca="true" t="shared" si="8" ref="I43:I64">G43-H43</f>
        <v>14.9</v>
      </c>
      <c r="J43" s="13">
        <f aca="true" t="shared" si="9" ref="J43:J65">D43+H43</f>
        <v>35.44</v>
      </c>
      <c r="K43" s="13">
        <f aca="true" t="shared" si="10" ref="K43:K64">F43+I43</f>
        <v>50.96</v>
      </c>
      <c r="L43" s="14">
        <f aca="true" t="shared" si="11" ref="L43:L66">SUM(D43+E43)/C43%</f>
        <v>40.74926059809398</v>
      </c>
      <c r="M43" s="14">
        <f aca="true" t="shared" si="12" ref="M43:M66">SUM(H43/G43%)</f>
        <v>43.879472693032014</v>
      </c>
    </row>
    <row r="44" spans="2:13" ht="12.75">
      <c r="B44" s="13" t="s">
        <v>84</v>
      </c>
      <c r="C44" s="13">
        <v>66.14</v>
      </c>
      <c r="D44" s="13">
        <v>22.92</v>
      </c>
      <c r="E44" s="13"/>
      <c r="F44" s="13">
        <f t="shared" si="7"/>
        <v>43.22</v>
      </c>
      <c r="G44" s="13">
        <v>54.94</v>
      </c>
      <c r="H44" s="13"/>
      <c r="I44" s="13">
        <f t="shared" si="8"/>
        <v>54.94</v>
      </c>
      <c r="J44" s="13">
        <f t="shared" si="9"/>
        <v>22.92</v>
      </c>
      <c r="K44" s="13">
        <f t="shared" si="10"/>
        <v>98.16</v>
      </c>
      <c r="L44" s="14">
        <f t="shared" si="11"/>
        <v>34.653764741457515</v>
      </c>
      <c r="M44" s="14">
        <f t="shared" si="12"/>
        <v>0</v>
      </c>
    </row>
    <row r="45" spans="2:13" ht="12.75">
      <c r="B45" s="13" t="s">
        <v>85</v>
      </c>
      <c r="C45" s="13">
        <v>97.68</v>
      </c>
      <c r="D45" s="13">
        <v>81.17</v>
      </c>
      <c r="E45" s="13">
        <v>0.51</v>
      </c>
      <c r="F45" s="14">
        <f t="shared" si="7"/>
        <v>16.000000000000004</v>
      </c>
      <c r="G45" s="13"/>
      <c r="H45" s="13"/>
      <c r="I45" s="13">
        <f t="shared" si="8"/>
        <v>0</v>
      </c>
      <c r="J45" s="13">
        <f t="shared" si="9"/>
        <v>81.17</v>
      </c>
      <c r="K45" s="13">
        <f t="shared" si="10"/>
        <v>16.000000000000004</v>
      </c>
      <c r="L45" s="14">
        <f t="shared" si="11"/>
        <v>83.61998361998361</v>
      </c>
      <c r="M45" s="14"/>
    </row>
    <row r="46" spans="2:13" ht="12.75">
      <c r="B46" s="13" t="s">
        <v>86</v>
      </c>
      <c r="C46" s="13">
        <v>84.95</v>
      </c>
      <c r="D46" s="14">
        <v>59.5</v>
      </c>
      <c r="E46" s="13">
        <v>1.71</v>
      </c>
      <c r="F46" s="14">
        <f t="shared" si="7"/>
        <v>23.740000000000002</v>
      </c>
      <c r="G46" s="13">
        <v>35.41</v>
      </c>
      <c r="H46" s="13">
        <v>15.31</v>
      </c>
      <c r="I46" s="14">
        <f t="shared" si="8"/>
        <v>20.099999999999994</v>
      </c>
      <c r="J46" s="13">
        <f t="shared" si="9"/>
        <v>74.81</v>
      </c>
      <c r="K46" s="14">
        <f t="shared" si="10"/>
        <v>43.839999999999996</v>
      </c>
      <c r="L46" s="14">
        <f t="shared" si="11"/>
        <v>72.0541494997057</v>
      </c>
      <c r="M46" s="14">
        <f t="shared" si="12"/>
        <v>43.236373905676366</v>
      </c>
    </row>
    <row r="47" spans="2:13" ht="12.75">
      <c r="B47" s="13" t="s">
        <v>87</v>
      </c>
      <c r="C47" s="14">
        <v>217.3</v>
      </c>
      <c r="D47" s="14">
        <v>50.4</v>
      </c>
      <c r="E47" s="13">
        <v>1.81</v>
      </c>
      <c r="F47" s="13">
        <f t="shared" si="7"/>
        <v>165.09</v>
      </c>
      <c r="G47" s="14">
        <v>60.7</v>
      </c>
      <c r="H47" s="14">
        <v>29.06</v>
      </c>
      <c r="I47" s="14">
        <f t="shared" si="8"/>
        <v>31.640000000000004</v>
      </c>
      <c r="J47" s="13">
        <f t="shared" si="9"/>
        <v>79.46</v>
      </c>
      <c r="K47" s="13">
        <f t="shared" si="10"/>
        <v>196.73000000000002</v>
      </c>
      <c r="L47" s="14">
        <f t="shared" si="11"/>
        <v>24.02669121030833</v>
      </c>
      <c r="M47" s="14">
        <f t="shared" si="12"/>
        <v>47.87479406919275</v>
      </c>
    </row>
    <row r="48" spans="2:13" ht="12.75">
      <c r="B48" s="13" t="s">
        <v>88</v>
      </c>
      <c r="C48" s="14">
        <v>260.76</v>
      </c>
      <c r="D48" s="13">
        <v>225.59</v>
      </c>
      <c r="E48" s="14">
        <v>0.67</v>
      </c>
      <c r="F48" s="14">
        <f t="shared" si="7"/>
        <v>34.499999999999986</v>
      </c>
      <c r="G48" s="13">
        <v>43.41</v>
      </c>
      <c r="H48" s="13">
        <v>11.21</v>
      </c>
      <c r="I48" s="14">
        <f t="shared" si="8"/>
        <v>32.199999999999996</v>
      </c>
      <c r="J48" s="13">
        <f t="shared" si="9"/>
        <v>236.8</v>
      </c>
      <c r="K48" s="13">
        <f t="shared" si="10"/>
        <v>66.69999999999999</v>
      </c>
      <c r="L48" s="14">
        <f t="shared" si="11"/>
        <v>86.76944316612978</v>
      </c>
      <c r="M48" s="14">
        <f t="shared" si="12"/>
        <v>25.82354296245105</v>
      </c>
    </row>
    <row r="49" spans="2:13" ht="12.75">
      <c r="B49" s="13" t="s">
        <v>89</v>
      </c>
      <c r="C49" s="13">
        <v>29.62</v>
      </c>
      <c r="D49" s="13">
        <v>19.91</v>
      </c>
      <c r="E49" s="13">
        <v>1.04</v>
      </c>
      <c r="F49" s="13">
        <f t="shared" si="7"/>
        <v>8.670000000000002</v>
      </c>
      <c r="G49" s="13">
        <v>0.87</v>
      </c>
      <c r="H49" s="13"/>
      <c r="I49" s="13">
        <f t="shared" si="8"/>
        <v>0.87</v>
      </c>
      <c r="J49" s="13">
        <f t="shared" si="9"/>
        <v>19.91</v>
      </c>
      <c r="K49" s="13">
        <f t="shared" si="10"/>
        <v>9.540000000000001</v>
      </c>
      <c r="L49" s="14">
        <f t="shared" si="11"/>
        <v>70.72923700202566</v>
      </c>
      <c r="M49" s="14">
        <f t="shared" si="12"/>
        <v>0</v>
      </c>
    </row>
    <row r="50" spans="2:13" ht="12.75">
      <c r="B50" s="13" t="s">
        <v>90</v>
      </c>
      <c r="C50" s="14">
        <v>50</v>
      </c>
      <c r="D50" s="13">
        <v>30.28</v>
      </c>
      <c r="E50" s="13">
        <v>1.58</v>
      </c>
      <c r="F50" s="13">
        <f t="shared" si="7"/>
        <v>18.14</v>
      </c>
      <c r="G50" s="13">
        <v>23.51</v>
      </c>
      <c r="H50" s="14">
        <v>24.3</v>
      </c>
      <c r="I50" s="13">
        <f t="shared" si="8"/>
        <v>-0.7899999999999991</v>
      </c>
      <c r="J50" s="13">
        <f t="shared" si="9"/>
        <v>54.58</v>
      </c>
      <c r="K50" s="14">
        <f t="shared" si="10"/>
        <v>17.35</v>
      </c>
      <c r="L50" s="14">
        <f t="shared" si="11"/>
        <v>63.72</v>
      </c>
      <c r="M50" s="14">
        <f t="shared" si="12"/>
        <v>103.36027222458529</v>
      </c>
    </row>
    <row r="51" spans="2:13" ht="12.75">
      <c r="B51" s="13" t="s">
        <v>91</v>
      </c>
      <c r="C51" s="14">
        <v>3.24</v>
      </c>
      <c r="D51" s="13">
        <v>3.08</v>
      </c>
      <c r="E51" s="13"/>
      <c r="F51" s="14">
        <f t="shared" si="7"/>
        <v>0.16000000000000014</v>
      </c>
      <c r="G51" s="13">
        <v>8.27</v>
      </c>
      <c r="H51" s="13">
        <v>0.07</v>
      </c>
      <c r="I51" s="14">
        <f t="shared" si="8"/>
        <v>8.2</v>
      </c>
      <c r="J51" s="13">
        <f t="shared" si="9"/>
        <v>3.15</v>
      </c>
      <c r="K51" s="13">
        <f t="shared" si="10"/>
        <v>8.36</v>
      </c>
      <c r="L51" s="14">
        <f t="shared" si="11"/>
        <v>95.06172839506172</v>
      </c>
      <c r="M51" s="14">
        <f t="shared" si="12"/>
        <v>0.8464328899637245</v>
      </c>
    </row>
    <row r="52" spans="2:13" ht="12.75">
      <c r="B52" s="13" t="s">
        <v>92</v>
      </c>
      <c r="C52" s="14">
        <v>61.3</v>
      </c>
      <c r="D52" s="13">
        <v>22.2</v>
      </c>
      <c r="E52" s="13">
        <v>0.64</v>
      </c>
      <c r="F52" s="14">
        <f t="shared" si="7"/>
        <v>38.459999999999994</v>
      </c>
      <c r="G52" s="13">
        <v>32.78</v>
      </c>
      <c r="H52" s="13"/>
      <c r="I52" s="13">
        <f t="shared" si="8"/>
        <v>32.78</v>
      </c>
      <c r="J52" s="13">
        <f t="shared" si="9"/>
        <v>22.2</v>
      </c>
      <c r="K52" s="13">
        <f t="shared" si="10"/>
        <v>71.24</v>
      </c>
      <c r="L52" s="14">
        <f t="shared" si="11"/>
        <v>37.25938009787928</v>
      </c>
      <c r="M52" s="14">
        <f t="shared" si="12"/>
        <v>0</v>
      </c>
    </row>
    <row r="53" spans="2:13" ht="12.75">
      <c r="B53" s="13" t="s">
        <v>93</v>
      </c>
      <c r="C53" s="13">
        <v>1199.46</v>
      </c>
      <c r="D53" s="13">
        <v>1080.28</v>
      </c>
      <c r="E53" s="13">
        <v>40.42</v>
      </c>
      <c r="F53" s="13">
        <f t="shared" si="7"/>
        <v>78.76000000000006</v>
      </c>
      <c r="G53" s="13">
        <v>95.88</v>
      </c>
      <c r="H53" s="13">
        <v>34.15</v>
      </c>
      <c r="I53" s="13">
        <f t="shared" si="8"/>
        <v>61.73</v>
      </c>
      <c r="J53" s="13">
        <f t="shared" si="9"/>
        <v>1114.43</v>
      </c>
      <c r="K53" s="14">
        <f t="shared" si="10"/>
        <v>140.49000000000007</v>
      </c>
      <c r="L53" s="14">
        <f t="shared" si="11"/>
        <v>93.43371183699331</v>
      </c>
      <c r="M53" s="14">
        <f t="shared" si="12"/>
        <v>35.6174384647476</v>
      </c>
    </row>
    <row r="54" spans="2:13" ht="12.75">
      <c r="B54" s="13" t="s">
        <v>94</v>
      </c>
      <c r="C54" s="13">
        <v>986.57</v>
      </c>
      <c r="D54" s="14">
        <v>904.7</v>
      </c>
      <c r="E54" s="14">
        <v>9.7</v>
      </c>
      <c r="F54" s="13">
        <f t="shared" si="7"/>
        <v>72.17</v>
      </c>
      <c r="G54" s="13">
        <v>308.83</v>
      </c>
      <c r="H54" s="13">
        <v>156.38</v>
      </c>
      <c r="I54" s="14">
        <f t="shared" si="8"/>
        <v>152.45</v>
      </c>
      <c r="J54" s="13">
        <f t="shared" si="9"/>
        <v>1061.08</v>
      </c>
      <c r="K54" s="13">
        <f t="shared" si="10"/>
        <v>224.62</v>
      </c>
      <c r="L54" s="14">
        <f t="shared" si="11"/>
        <v>92.6847562767974</v>
      </c>
      <c r="M54" s="14">
        <f t="shared" si="12"/>
        <v>50.63627238286436</v>
      </c>
    </row>
    <row r="55" spans="2:13" ht="12.75">
      <c r="B55" s="13" t="s">
        <v>95</v>
      </c>
      <c r="C55" s="13">
        <v>237.08</v>
      </c>
      <c r="D55" s="13">
        <v>186.57</v>
      </c>
      <c r="E55" s="13">
        <v>9.24</v>
      </c>
      <c r="F55" s="14">
        <f t="shared" si="7"/>
        <v>41.27000000000002</v>
      </c>
      <c r="G55" s="13">
        <v>39.76</v>
      </c>
      <c r="H55" s="13">
        <v>28.14</v>
      </c>
      <c r="I55" s="13">
        <f t="shared" si="8"/>
        <v>11.619999999999997</v>
      </c>
      <c r="J55" s="13">
        <f t="shared" si="9"/>
        <v>214.70999999999998</v>
      </c>
      <c r="K55" s="14">
        <f t="shared" si="10"/>
        <v>52.890000000000015</v>
      </c>
      <c r="L55" s="14">
        <f t="shared" si="11"/>
        <v>82.59237388223384</v>
      </c>
      <c r="M55" s="14">
        <f t="shared" si="12"/>
        <v>70.77464788732395</v>
      </c>
    </row>
    <row r="56" spans="2:13" ht="12.75">
      <c r="B56" s="13" t="s">
        <v>96</v>
      </c>
      <c r="C56" s="13">
        <v>126.41</v>
      </c>
      <c r="D56" s="14">
        <v>69.5</v>
      </c>
      <c r="E56" s="13">
        <v>0.26</v>
      </c>
      <c r="F56" s="13">
        <f t="shared" si="7"/>
        <v>56.65</v>
      </c>
      <c r="G56" s="13">
        <v>53.12</v>
      </c>
      <c r="H56" s="13">
        <v>60.69</v>
      </c>
      <c r="I56" s="13">
        <f t="shared" si="8"/>
        <v>-7.57</v>
      </c>
      <c r="J56" s="13">
        <f t="shared" si="9"/>
        <v>130.19</v>
      </c>
      <c r="K56" s="13">
        <f t="shared" si="10"/>
        <v>49.08</v>
      </c>
      <c r="L56" s="14">
        <f t="shared" si="11"/>
        <v>55.1855074756744</v>
      </c>
      <c r="M56" s="14">
        <f t="shared" si="12"/>
        <v>114.2507530120482</v>
      </c>
    </row>
    <row r="57" spans="2:13" ht="12.75">
      <c r="B57" s="13" t="s">
        <v>97</v>
      </c>
      <c r="C57" s="13">
        <v>148.39</v>
      </c>
      <c r="D57" s="13">
        <v>147.01</v>
      </c>
      <c r="E57" s="14">
        <v>1.41</v>
      </c>
      <c r="F57" s="14">
        <f>C57-D57-E57</f>
        <v>-0.030000000000004468</v>
      </c>
      <c r="G57" s="13">
        <v>1.08</v>
      </c>
      <c r="H57" s="13"/>
      <c r="I57" s="13">
        <f t="shared" si="8"/>
        <v>1.08</v>
      </c>
      <c r="J57" s="13">
        <f t="shared" si="9"/>
        <v>147.01</v>
      </c>
      <c r="K57" s="13">
        <f t="shared" si="10"/>
        <v>1.0499999999999956</v>
      </c>
      <c r="L57" s="14">
        <f t="shared" si="11"/>
        <v>100.02021699575444</v>
      </c>
      <c r="M57" s="14">
        <f t="shared" si="12"/>
        <v>0</v>
      </c>
    </row>
    <row r="58" spans="2:13" ht="12.75">
      <c r="B58" s="13" t="s">
        <v>98</v>
      </c>
      <c r="C58" s="13">
        <v>66.45</v>
      </c>
      <c r="D58" s="13">
        <v>32.67</v>
      </c>
      <c r="E58" s="13">
        <v>1.17</v>
      </c>
      <c r="F58" s="13">
        <f t="shared" si="7"/>
        <v>32.61</v>
      </c>
      <c r="G58" s="13">
        <v>0.13</v>
      </c>
      <c r="H58" s="13"/>
      <c r="I58" s="13">
        <f t="shared" si="8"/>
        <v>0.13</v>
      </c>
      <c r="J58" s="13">
        <f t="shared" si="9"/>
        <v>32.67</v>
      </c>
      <c r="K58" s="13">
        <f t="shared" si="10"/>
        <v>32.74</v>
      </c>
      <c r="L58" s="14">
        <f t="shared" si="11"/>
        <v>50.92550790067721</v>
      </c>
      <c r="M58" s="14">
        <f t="shared" si="12"/>
        <v>0</v>
      </c>
    </row>
    <row r="59" spans="2:13" ht="12.75">
      <c r="B59" s="13" t="s">
        <v>99</v>
      </c>
      <c r="C59" s="14">
        <v>88.62</v>
      </c>
      <c r="D59" s="13">
        <v>71.27</v>
      </c>
      <c r="E59" s="14">
        <v>0.3</v>
      </c>
      <c r="F59" s="13">
        <f t="shared" si="7"/>
        <v>17.050000000000008</v>
      </c>
      <c r="G59" s="13">
        <v>20.28</v>
      </c>
      <c r="H59" s="13">
        <v>9.61</v>
      </c>
      <c r="I59" s="13">
        <f t="shared" si="8"/>
        <v>10.670000000000002</v>
      </c>
      <c r="J59" s="13">
        <f t="shared" si="9"/>
        <v>80.88</v>
      </c>
      <c r="K59" s="13">
        <f t="shared" si="10"/>
        <v>27.72000000000001</v>
      </c>
      <c r="L59" s="14">
        <f t="shared" si="11"/>
        <v>80.76055066576392</v>
      </c>
      <c r="M59" s="14">
        <f t="shared" si="12"/>
        <v>47.38658777120315</v>
      </c>
    </row>
    <row r="60" spans="2:13" ht="12.75">
      <c r="B60" s="13" t="s">
        <v>100</v>
      </c>
      <c r="C60" s="13">
        <v>145.57</v>
      </c>
      <c r="D60" s="13">
        <v>110.56</v>
      </c>
      <c r="E60" s="13">
        <v>5.03</v>
      </c>
      <c r="F60" s="13">
        <f t="shared" si="7"/>
        <v>29.97999999999999</v>
      </c>
      <c r="G60" s="13"/>
      <c r="H60" s="13"/>
      <c r="I60" s="13">
        <f t="shared" si="8"/>
        <v>0</v>
      </c>
      <c r="J60" s="13">
        <f t="shared" si="9"/>
        <v>110.56</v>
      </c>
      <c r="K60" s="13">
        <f t="shared" si="10"/>
        <v>29.97999999999999</v>
      </c>
      <c r="L60" s="14">
        <f t="shared" si="11"/>
        <v>79.40509720409425</v>
      </c>
      <c r="M60" s="14"/>
    </row>
    <row r="61" spans="2:13" ht="12.75">
      <c r="B61" s="13" t="s">
        <v>101</v>
      </c>
      <c r="C61" s="13">
        <v>13794.36</v>
      </c>
      <c r="D61" s="13">
        <v>11402.92</v>
      </c>
      <c r="E61" s="13">
        <v>353.57</v>
      </c>
      <c r="F61" s="13">
        <f t="shared" si="7"/>
        <v>2037.8700000000006</v>
      </c>
      <c r="G61" s="13">
        <v>4326.77</v>
      </c>
      <c r="H61" s="14">
        <v>3003.5</v>
      </c>
      <c r="I61" s="14">
        <f t="shared" si="8"/>
        <v>1323.2700000000004</v>
      </c>
      <c r="J61" s="13">
        <f t="shared" si="9"/>
        <v>14406.42</v>
      </c>
      <c r="K61" s="13">
        <f t="shared" si="10"/>
        <v>3361.1400000000012</v>
      </c>
      <c r="L61" s="14">
        <f t="shared" si="11"/>
        <v>85.22678833958226</v>
      </c>
      <c r="M61" s="14">
        <f t="shared" si="12"/>
        <v>69.41667803003163</v>
      </c>
    </row>
    <row r="62" spans="2:13" ht="12.75">
      <c r="B62" s="13" t="s">
        <v>102</v>
      </c>
      <c r="C62" s="13">
        <v>658.76</v>
      </c>
      <c r="D62" s="13">
        <v>502.91</v>
      </c>
      <c r="E62" s="14">
        <v>9.7</v>
      </c>
      <c r="F62" s="13">
        <f t="shared" si="7"/>
        <v>146.14999999999998</v>
      </c>
      <c r="G62" s="14">
        <v>189.54</v>
      </c>
      <c r="H62" s="14">
        <v>43.08</v>
      </c>
      <c r="I62" s="14">
        <f t="shared" si="8"/>
        <v>146.45999999999998</v>
      </c>
      <c r="J62" s="14">
        <f t="shared" si="9"/>
        <v>545.99</v>
      </c>
      <c r="K62" s="14">
        <f t="shared" si="10"/>
        <v>292.60999999999996</v>
      </c>
      <c r="L62" s="14">
        <f t="shared" si="11"/>
        <v>77.8143785293582</v>
      </c>
      <c r="M62" s="14">
        <f t="shared" si="12"/>
        <v>22.728711617600506</v>
      </c>
    </row>
    <row r="63" spans="2:13" ht="12.75">
      <c r="B63" s="13" t="s">
        <v>103</v>
      </c>
      <c r="C63" s="13">
        <v>68.19</v>
      </c>
      <c r="D63" s="13">
        <v>3.96</v>
      </c>
      <c r="E63" s="13">
        <v>0.21</v>
      </c>
      <c r="F63" s="13">
        <f t="shared" si="7"/>
        <v>64.02000000000001</v>
      </c>
      <c r="G63" s="13"/>
      <c r="H63" s="13"/>
      <c r="I63" s="13">
        <f t="shared" si="8"/>
        <v>0</v>
      </c>
      <c r="J63" s="13">
        <f>D63+H63</f>
        <v>3.96</v>
      </c>
      <c r="K63" s="13">
        <f t="shared" si="10"/>
        <v>64.02000000000001</v>
      </c>
      <c r="L63" s="14">
        <f t="shared" si="11"/>
        <v>6.115266168059833</v>
      </c>
      <c r="M63" s="14"/>
    </row>
    <row r="64" spans="2:13" ht="12.75">
      <c r="B64" s="13" t="s">
        <v>104</v>
      </c>
      <c r="C64" s="13">
        <v>37.28</v>
      </c>
      <c r="D64" s="13">
        <v>28.54</v>
      </c>
      <c r="E64" s="13">
        <v>0.77</v>
      </c>
      <c r="F64" s="13">
        <f t="shared" si="7"/>
        <v>7.970000000000002</v>
      </c>
      <c r="G64" s="14">
        <v>3</v>
      </c>
      <c r="H64" s="13"/>
      <c r="I64" s="14">
        <f t="shared" si="8"/>
        <v>3</v>
      </c>
      <c r="J64" s="13">
        <f t="shared" si="9"/>
        <v>28.54</v>
      </c>
      <c r="K64" s="13">
        <f t="shared" si="10"/>
        <v>10.970000000000002</v>
      </c>
      <c r="L64" s="14">
        <f t="shared" si="11"/>
        <v>78.62124463519312</v>
      </c>
      <c r="M64" s="14">
        <f t="shared" si="12"/>
        <v>0</v>
      </c>
    </row>
    <row r="65" spans="2:13" ht="12.75">
      <c r="B65" s="11" t="s">
        <v>156</v>
      </c>
      <c r="C65" s="11">
        <f>SUM(C43:C64)</f>
        <v>18488.989999999998</v>
      </c>
      <c r="D65" s="11">
        <f aca="true" t="shared" si="13" ref="D65:K65">SUM(D43:D64)</f>
        <v>15079.73</v>
      </c>
      <c r="E65" s="11">
        <f t="shared" si="13"/>
        <v>440.74999999999994</v>
      </c>
      <c r="F65" s="11">
        <f t="shared" si="13"/>
        <v>2968.5100000000007</v>
      </c>
      <c r="G65" s="11">
        <f t="shared" si="13"/>
        <v>5324.830000000001</v>
      </c>
      <c r="H65" s="11">
        <f t="shared" si="13"/>
        <v>3427.15</v>
      </c>
      <c r="I65" s="11">
        <f t="shared" si="13"/>
        <v>1897.6800000000005</v>
      </c>
      <c r="J65" s="11">
        <f t="shared" si="9"/>
        <v>18506.88</v>
      </c>
      <c r="K65" s="24">
        <f t="shared" si="13"/>
        <v>4866.190000000001</v>
      </c>
      <c r="L65" s="24">
        <f t="shared" si="11"/>
        <v>83.94444477497149</v>
      </c>
      <c r="M65" s="24">
        <f t="shared" si="12"/>
        <v>64.36167915219828</v>
      </c>
    </row>
    <row r="66" spans="2:13" ht="12.75">
      <c r="B66" s="59" t="s">
        <v>157</v>
      </c>
      <c r="C66" s="24">
        <f aca="true" t="shared" si="14" ref="C66:K66">C34+C65</f>
        <v>93072.79999999999</v>
      </c>
      <c r="D66" s="24">
        <f t="shared" si="14"/>
        <v>66533.27</v>
      </c>
      <c r="E66" s="24">
        <f t="shared" si="14"/>
        <v>1907.23</v>
      </c>
      <c r="F66" s="11">
        <f t="shared" si="14"/>
        <v>24632.300000000007</v>
      </c>
      <c r="G66" s="24">
        <f t="shared" si="14"/>
        <v>50527.07</v>
      </c>
      <c r="H66" s="11">
        <f t="shared" si="14"/>
        <v>27660.930000000004</v>
      </c>
      <c r="I66" s="24">
        <f t="shared" si="14"/>
        <v>22866.139999999992</v>
      </c>
      <c r="J66" s="24">
        <f>D66+H66</f>
        <v>94194.20000000001</v>
      </c>
      <c r="K66" s="24">
        <f t="shared" si="14"/>
        <v>47498.439999999995</v>
      </c>
      <c r="L66" s="24">
        <f t="shared" si="11"/>
        <v>73.53437309289075</v>
      </c>
      <c r="M66" s="24">
        <f t="shared" si="12"/>
        <v>54.74477344520473</v>
      </c>
    </row>
    <row r="67" ht="12.75">
      <c r="J67">
        <f>J65+J34</f>
        <v>94194.20000000001</v>
      </c>
    </row>
    <row r="68" spans="10:14" ht="12.75">
      <c r="J68" s="68"/>
      <c r="N68" s="1"/>
    </row>
    <row r="71" ht="12.75">
      <c r="G71" t="s">
        <v>50</v>
      </c>
    </row>
    <row r="72" ht="12.75">
      <c r="J72" t="s">
        <v>50</v>
      </c>
    </row>
    <row r="74" ht="12.75">
      <c r="K74" s="1" t="s">
        <v>177</v>
      </c>
    </row>
    <row r="75" spans="2:13" ht="12.75">
      <c r="B75" s="163" t="s">
        <v>48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7" spans="2:13" ht="12.75">
      <c r="B77" s="163" t="s">
        <v>185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spans="2:1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4" ht="12.75">
      <c r="B79" s="111" t="s">
        <v>108</v>
      </c>
      <c r="C79" s="51"/>
      <c r="D79" s="51"/>
    </row>
    <row r="80" spans="2:13" ht="12.75">
      <c r="B80" s="20"/>
      <c r="C80" s="49" t="s">
        <v>68</v>
      </c>
      <c r="D80" s="49" t="s">
        <v>74</v>
      </c>
      <c r="E80" s="49" t="s">
        <v>72</v>
      </c>
      <c r="F80" s="49" t="s">
        <v>75</v>
      </c>
      <c r="G80" s="49" t="s">
        <v>78</v>
      </c>
      <c r="H80" s="49" t="s">
        <v>74</v>
      </c>
      <c r="I80" s="49" t="s">
        <v>75</v>
      </c>
      <c r="J80" s="49" t="s">
        <v>117</v>
      </c>
      <c r="K80" s="49" t="s">
        <v>82</v>
      </c>
      <c r="L80" s="49" t="s">
        <v>105</v>
      </c>
      <c r="M80" s="49" t="s">
        <v>105</v>
      </c>
    </row>
    <row r="81" spans="2:13" ht="12.75">
      <c r="B81" s="6" t="s">
        <v>67</v>
      </c>
      <c r="C81" s="6" t="s">
        <v>69</v>
      </c>
      <c r="D81" s="6" t="s">
        <v>70</v>
      </c>
      <c r="E81" s="6" t="s">
        <v>124</v>
      </c>
      <c r="F81" s="6" t="s">
        <v>76</v>
      </c>
      <c r="G81" s="6" t="s">
        <v>80</v>
      </c>
      <c r="H81" s="6" t="s">
        <v>80</v>
      </c>
      <c r="I81" s="6" t="s">
        <v>76</v>
      </c>
      <c r="J81" s="6" t="s">
        <v>118</v>
      </c>
      <c r="K81" s="6" t="s">
        <v>76</v>
      </c>
      <c r="L81" s="6" t="s">
        <v>73</v>
      </c>
      <c r="M81" s="6" t="s">
        <v>78</v>
      </c>
    </row>
    <row r="82" spans="2:13" ht="12.75">
      <c r="B82" s="41"/>
      <c r="C82" s="50"/>
      <c r="D82" s="50" t="s">
        <v>71</v>
      </c>
      <c r="E82" s="50" t="s">
        <v>123</v>
      </c>
      <c r="F82" s="50" t="s">
        <v>77</v>
      </c>
      <c r="G82" s="50" t="s">
        <v>81</v>
      </c>
      <c r="H82" s="50" t="s">
        <v>81</v>
      </c>
      <c r="I82" s="50" t="s">
        <v>79</v>
      </c>
      <c r="J82" s="50" t="s">
        <v>119</v>
      </c>
      <c r="K82" s="50"/>
      <c r="L82" s="50" t="s">
        <v>106</v>
      </c>
      <c r="M82" s="50" t="s">
        <v>106</v>
      </c>
    </row>
    <row r="83" spans="1:17" ht="12.75">
      <c r="A83">
        <v>1</v>
      </c>
      <c r="B83" s="13" t="s">
        <v>83</v>
      </c>
      <c r="C83" s="13">
        <v>6566.83</v>
      </c>
      <c r="D83" s="14">
        <v>3951.07</v>
      </c>
      <c r="E83" s="14">
        <v>130.72</v>
      </c>
      <c r="F83" s="14">
        <f>C83-D83-E83</f>
        <v>2485.04</v>
      </c>
      <c r="G83" s="13">
        <v>2920.67</v>
      </c>
      <c r="H83" s="14">
        <v>824.86</v>
      </c>
      <c r="I83" s="13">
        <f>G83-H83</f>
        <v>2095.81</v>
      </c>
      <c r="J83" s="13">
        <f aca="true" t="shared" si="15" ref="J83:J104">D83+H83</f>
        <v>4775.93</v>
      </c>
      <c r="K83" s="13">
        <f>F83+I83</f>
        <v>4580.85</v>
      </c>
      <c r="L83" s="14">
        <f>SUM(D83+E83)/C83%</f>
        <v>62.15769252439914</v>
      </c>
      <c r="M83" s="14">
        <f>SUM(H83/G83%)</f>
        <v>28.24214991765588</v>
      </c>
      <c r="O83" s="68"/>
      <c r="P83" s="68"/>
      <c r="Q83" s="68"/>
    </row>
    <row r="84" spans="1:13" ht="12.75">
      <c r="A84">
        <v>2</v>
      </c>
      <c r="B84" s="13" t="s">
        <v>84</v>
      </c>
      <c r="C84" s="13">
        <v>4618.91</v>
      </c>
      <c r="D84" s="13">
        <v>3515.91</v>
      </c>
      <c r="E84" s="14">
        <v>117</v>
      </c>
      <c r="F84" s="14">
        <f>C84-D84-E84</f>
        <v>986</v>
      </c>
      <c r="G84" s="13">
        <v>1217.93</v>
      </c>
      <c r="H84" s="13">
        <v>455.14</v>
      </c>
      <c r="I84" s="13">
        <f aca="true" t="shared" si="16" ref="I84:I104">G84-H84</f>
        <v>762.7900000000001</v>
      </c>
      <c r="J84" s="13">
        <f t="shared" si="15"/>
        <v>3971.0499999999997</v>
      </c>
      <c r="K84" s="13">
        <f aca="true" t="shared" si="17" ref="K84:K104">F84+I84</f>
        <v>1748.79</v>
      </c>
      <c r="L84" s="14">
        <f aca="true" t="shared" si="18" ref="L84:L105">SUM(D84+E84)/C84%</f>
        <v>78.65297223803884</v>
      </c>
      <c r="M84" s="14">
        <f aca="true" t="shared" si="19" ref="M84:M105">SUM(H84/G84%)</f>
        <v>37.369963791022464</v>
      </c>
    </row>
    <row r="85" spans="1:13" ht="12.75">
      <c r="A85">
        <v>3</v>
      </c>
      <c r="B85" s="13" t="s">
        <v>85</v>
      </c>
      <c r="C85" s="13">
        <v>4159.64</v>
      </c>
      <c r="D85" s="13">
        <v>3000.41</v>
      </c>
      <c r="E85" s="13">
        <v>86.78</v>
      </c>
      <c r="F85" s="13">
        <f aca="true" t="shared" si="20" ref="F85:F104">C85-D85-E85</f>
        <v>1072.4500000000005</v>
      </c>
      <c r="G85" s="13">
        <v>1623.09</v>
      </c>
      <c r="H85" s="13">
        <v>665.16</v>
      </c>
      <c r="I85" s="13">
        <f t="shared" si="16"/>
        <v>957.93</v>
      </c>
      <c r="J85" s="14">
        <f t="shared" si="15"/>
        <v>3665.5699999999997</v>
      </c>
      <c r="K85" s="14">
        <f t="shared" si="17"/>
        <v>2030.3800000000006</v>
      </c>
      <c r="L85" s="14">
        <f t="shared" si="18"/>
        <v>74.21772076429691</v>
      </c>
      <c r="M85" s="14">
        <f t="shared" si="19"/>
        <v>40.9810916215367</v>
      </c>
    </row>
    <row r="86" spans="1:13" ht="12.75">
      <c r="A86">
        <v>4</v>
      </c>
      <c r="B86" s="13" t="s">
        <v>86</v>
      </c>
      <c r="C86" s="14">
        <v>5065.53</v>
      </c>
      <c r="D86" s="14">
        <v>3363.1</v>
      </c>
      <c r="E86" s="14">
        <v>94.21</v>
      </c>
      <c r="F86" s="14">
        <f t="shared" si="20"/>
        <v>1608.2199999999998</v>
      </c>
      <c r="G86" s="13">
        <v>3499.07</v>
      </c>
      <c r="H86" s="13">
        <v>1175.7</v>
      </c>
      <c r="I86" s="14">
        <f t="shared" si="16"/>
        <v>2323.37</v>
      </c>
      <c r="J86" s="13">
        <f t="shared" si="15"/>
        <v>4538.8</v>
      </c>
      <c r="K86" s="13">
        <f t="shared" si="17"/>
        <v>3931.5899999999997</v>
      </c>
      <c r="L86" s="14">
        <f t="shared" si="18"/>
        <v>68.25169330751176</v>
      </c>
      <c r="M86" s="14">
        <f t="shared" si="19"/>
        <v>33.60035666619987</v>
      </c>
    </row>
    <row r="87" spans="1:13" ht="12.75">
      <c r="A87">
        <v>5</v>
      </c>
      <c r="B87" s="13" t="s">
        <v>87</v>
      </c>
      <c r="C87" s="13">
        <v>6654.27</v>
      </c>
      <c r="D87" s="14">
        <v>3318.2</v>
      </c>
      <c r="E87" s="13">
        <v>97.66</v>
      </c>
      <c r="F87" s="13">
        <f t="shared" si="20"/>
        <v>3238.4100000000008</v>
      </c>
      <c r="G87" s="13">
        <v>4891.62</v>
      </c>
      <c r="H87" s="13">
        <v>1397.89</v>
      </c>
      <c r="I87" s="13">
        <f t="shared" si="16"/>
        <v>3493.7299999999996</v>
      </c>
      <c r="J87" s="13">
        <f t="shared" si="15"/>
        <v>4716.09</v>
      </c>
      <c r="K87" s="14">
        <f t="shared" si="17"/>
        <v>6732.14</v>
      </c>
      <c r="L87" s="14">
        <f t="shared" si="18"/>
        <v>51.33335437245557</v>
      </c>
      <c r="M87" s="14">
        <f t="shared" si="19"/>
        <v>28.57724025987301</v>
      </c>
    </row>
    <row r="88" spans="1:13" ht="12.75">
      <c r="A88">
        <v>6</v>
      </c>
      <c r="B88" s="13" t="s">
        <v>88</v>
      </c>
      <c r="C88" s="14">
        <v>3916.45</v>
      </c>
      <c r="D88" s="13">
        <v>2864.4</v>
      </c>
      <c r="E88" s="13">
        <v>99.55</v>
      </c>
      <c r="F88" s="14">
        <f t="shared" si="20"/>
        <v>952.4999999999998</v>
      </c>
      <c r="G88" s="13">
        <v>1628.07</v>
      </c>
      <c r="H88" s="13">
        <v>752.58</v>
      </c>
      <c r="I88" s="13">
        <f t="shared" si="16"/>
        <v>875.4899999999999</v>
      </c>
      <c r="J88" s="13">
        <f t="shared" si="15"/>
        <v>3616.98</v>
      </c>
      <c r="K88" s="13">
        <f t="shared" si="17"/>
        <v>1827.9899999999998</v>
      </c>
      <c r="L88" s="14">
        <f t="shared" si="18"/>
        <v>75.67950567478202</v>
      </c>
      <c r="M88" s="14">
        <f t="shared" si="19"/>
        <v>46.22528515358677</v>
      </c>
    </row>
    <row r="89" spans="1:13" ht="12.75">
      <c r="A89">
        <v>7</v>
      </c>
      <c r="B89" s="13" t="s">
        <v>89</v>
      </c>
      <c r="C89" s="14">
        <v>750.9</v>
      </c>
      <c r="D89" s="14">
        <v>448.48</v>
      </c>
      <c r="E89" s="14">
        <v>12</v>
      </c>
      <c r="F89" s="13">
        <f t="shared" si="20"/>
        <v>290.41999999999996</v>
      </c>
      <c r="G89" s="13">
        <v>653.74</v>
      </c>
      <c r="H89" s="14">
        <v>333.13</v>
      </c>
      <c r="I89" s="13">
        <f t="shared" si="16"/>
        <v>320.61</v>
      </c>
      <c r="J89" s="13">
        <f t="shared" si="15"/>
        <v>781.61</v>
      </c>
      <c r="K89" s="13">
        <f t="shared" si="17"/>
        <v>611.03</v>
      </c>
      <c r="L89" s="14">
        <f t="shared" si="18"/>
        <v>61.32374483952591</v>
      </c>
      <c r="M89" s="14">
        <f t="shared" si="19"/>
        <v>50.957567228561814</v>
      </c>
    </row>
    <row r="90" spans="1:15" ht="12.75">
      <c r="A90">
        <v>8</v>
      </c>
      <c r="B90" s="13" t="s">
        <v>90</v>
      </c>
      <c r="C90" s="13">
        <v>6026.71</v>
      </c>
      <c r="D90" s="13">
        <v>4363.22</v>
      </c>
      <c r="E90" s="14">
        <v>122.96</v>
      </c>
      <c r="F90" s="13">
        <f t="shared" si="20"/>
        <v>1540.5299999999997</v>
      </c>
      <c r="G90" s="13">
        <v>1885.77</v>
      </c>
      <c r="H90" s="13">
        <v>878.59</v>
      </c>
      <c r="I90" s="14">
        <f t="shared" si="16"/>
        <v>1007.18</v>
      </c>
      <c r="J90" s="13">
        <f t="shared" si="15"/>
        <v>5241.81</v>
      </c>
      <c r="K90" s="13">
        <f t="shared" si="17"/>
        <v>2547.7099999999996</v>
      </c>
      <c r="L90" s="14">
        <f t="shared" si="18"/>
        <v>74.43829220254501</v>
      </c>
      <c r="M90" s="14">
        <f t="shared" si="19"/>
        <v>46.590517401379806</v>
      </c>
      <c r="O90" s="68"/>
    </row>
    <row r="91" spans="1:13" ht="12.75">
      <c r="A91">
        <v>9</v>
      </c>
      <c r="B91" s="13" t="s">
        <v>91</v>
      </c>
      <c r="C91" s="13">
        <v>674.31</v>
      </c>
      <c r="D91" s="13">
        <v>482.84</v>
      </c>
      <c r="E91" s="13">
        <v>8.43</v>
      </c>
      <c r="F91" s="13">
        <f t="shared" si="20"/>
        <v>183.03999999999996</v>
      </c>
      <c r="G91" s="14">
        <v>364.62</v>
      </c>
      <c r="H91" s="13">
        <v>136.38</v>
      </c>
      <c r="I91" s="13">
        <f t="shared" si="16"/>
        <v>228.24</v>
      </c>
      <c r="J91" s="13">
        <f t="shared" si="15"/>
        <v>619.22</v>
      </c>
      <c r="K91" s="13">
        <f t="shared" si="17"/>
        <v>411.28</v>
      </c>
      <c r="L91" s="14">
        <f t="shared" si="18"/>
        <v>72.85521496047812</v>
      </c>
      <c r="M91" s="14">
        <f t="shared" si="19"/>
        <v>37.40332400855685</v>
      </c>
    </row>
    <row r="92" spans="1:13" ht="12.75">
      <c r="A92">
        <v>10</v>
      </c>
      <c r="B92" s="13" t="s">
        <v>92</v>
      </c>
      <c r="C92" s="13">
        <v>4857.02</v>
      </c>
      <c r="D92" s="13">
        <v>3380.65</v>
      </c>
      <c r="E92" s="13">
        <v>88.81</v>
      </c>
      <c r="F92" s="13">
        <f t="shared" si="20"/>
        <v>1387.5600000000004</v>
      </c>
      <c r="G92" s="13">
        <v>821.62</v>
      </c>
      <c r="H92" s="13">
        <v>395.78</v>
      </c>
      <c r="I92" s="13">
        <f t="shared" si="16"/>
        <v>425.84000000000003</v>
      </c>
      <c r="J92" s="13">
        <f t="shared" si="15"/>
        <v>3776.4300000000003</v>
      </c>
      <c r="K92" s="13">
        <f t="shared" si="17"/>
        <v>1813.4000000000005</v>
      </c>
      <c r="L92" s="14">
        <f t="shared" si="18"/>
        <v>71.43186562954239</v>
      </c>
      <c r="M92" s="14">
        <f t="shared" si="19"/>
        <v>48.17068717898785</v>
      </c>
    </row>
    <row r="93" spans="1:13" ht="12.75">
      <c r="A93">
        <v>11</v>
      </c>
      <c r="B93" s="13" t="s">
        <v>93</v>
      </c>
      <c r="C93" s="13">
        <v>22488.62</v>
      </c>
      <c r="D93" s="14">
        <v>13900.2</v>
      </c>
      <c r="E93" s="14">
        <v>455.51</v>
      </c>
      <c r="F93" s="13">
        <f t="shared" si="20"/>
        <v>8132.909999999998</v>
      </c>
      <c r="G93" s="13">
        <v>8392.53</v>
      </c>
      <c r="H93" s="13">
        <v>3028.81</v>
      </c>
      <c r="I93" s="14">
        <f t="shared" si="16"/>
        <v>5363.720000000001</v>
      </c>
      <c r="J93" s="13">
        <f t="shared" si="15"/>
        <v>16929.010000000002</v>
      </c>
      <c r="K93" s="13">
        <f t="shared" si="17"/>
        <v>13496.63</v>
      </c>
      <c r="L93" s="14">
        <f t="shared" si="18"/>
        <v>63.835442103606184</v>
      </c>
      <c r="M93" s="14">
        <f t="shared" si="19"/>
        <v>36.089355653182054</v>
      </c>
    </row>
    <row r="94" spans="1:15" ht="12.75">
      <c r="A94">
        <v>12</v>
      </c>
      <c r="B94" s="13" t="s">
        <v>94</v>
      </c>
      <c r="C94" s="14">
        <v>15574.32</v>
      </c>
      <c r="D94" s="14">
        <v>10756.18</v>
      </c>
      <c r="E94" s="13">
        <v>314.95</v>
      </c>
      <c r="F94" s="13">
        <f t="shared" si="20"/>
        <v>4503.19</v>
      </c>
      <c r="G94" s="13">
        <v>7273.37</v>
      </c>
      <c r="H94" s="13">
        <v>3679.02</v>
      </c>
      <c r="I94" s="13">
        <f t="shared" si="16"/>
        <v>3594.35</v>
      </c>
      <c r="J94" s="13">
        <f t="shared" si="15"/>
        <v>14435.2</v>
      </c>
      <c r="K94" s="13">
        <f t="shared" si="17"/>
        <v>8097.539999999999</v>
      </c>
      <c r="L94" s="14">
        <f t="shared" si="18"/>
        <v>71.08580021471244</v>
      </c>
      <c r="M94" s="14">
        <f t="shared" si="19"/>
        <v>50.58205481090609</v>
      </c>
      <c r="O94" s="68"/>
    </row>
    <row r="95" spans="1:15" ht="12.75">
      <c r="A95">
        <v>13</v>
      </c>
      <c r="B95" s="13" t="s">
        <v>95</v>
      </c>
      <c r="C95" s="14">
        <v>6069.25</v>
      </c>
      <c r="D95" s="13">
        <v>4301.01</v>
      </c>
      <c r="E95" s="13">
        <v>132.94</v>
      </c>
      <c r="F95" s="14">
        <f t="shared" si="20"/>
        <v>1635.2999999999997</v>
      </c>
      <c r="G95" s="13">
        <v>2883.53</v>
      </c>
      <c r="H95" s="14">
        <v>1357.84</v>
      </c>
      <c r="I95" s="13">
        <f t="shared" si="16"/>
        <v>1525.6900000000003</v>
      </c>
      <c r="J95" s="13">
        <f t="shared" si="15"/>
        <v>5658.85</v>
      </c>
      <c r="K95" s="13">
        <f t="shared" si="17"/>
        <v>3160.99</v>
      </c>
      <c r="L95" s="14">
        <f t="shared" si="18"/>
        <v>73.05597891007949</v>
      </c>
      <c r="M95" s="14">
        <f t="shared" si="19"/>
        <v>47.08950487770198</v>
      </c>
      <c r="O95" s="68"/>
    </row>
    <row r="96" spans="1:13" ht="12.75">
      <c r="A96">
        <v>14</v>
      </c>
      <c r="B96" s="13" t="s">
        <v>96</v>
      </c>
      <c r="C96" s="14">
        <v>2383.1</v>
      </c>
      <c r="D96" s="14">
        <v>1598.12</v>
      </c>
      <c r="E96" s="14">
        <v>34.3</v>
      </c>
      <c r="F96" s="13">
        <f t="shared" si="20"/>
        <v>750.6800000000001</v>
      </c>
      <c r="G96" s="13">
        <v>263.23</v>
      </c>
      <c r="H96" s="13">
        <v>157.82</v>
      </c>
      <c r="I96" s="13">
        <f t="shared" si="16"/>
        <v>105.41000000000003</v>
      </c>
      <c r="J96" s="13">
        <f t="shared" si="15"/>
        <v>1755.9399999999998</v>
      </c>
      <c r="K96" s="13">
        <f t="shared" si="17"/>
        <v>856.0900000000001</v>
      </c>
      <c r="L96" s="14">
        <f t="shared" si="18"/>
        <v>68.4998531324745</v>
      </c>
      <c r="M96" s="14">
        <f t="shared" si="19"/>
        <v>59.95517228279451</v>
      </c>
    </row>
    <row r="97" spans="1:13" ht="12.75">
      <c r="A97">
        <v>15</v>
      </c>
      <c r="B97" s="13" t="s">
        <v>97</v>
      </c>
      <c r="C97" s="13">
        <v>3246.68</v>
      </c>
      <c r="D97" s="54">
        <v>2472.29</v>
      </c>
      <c r="E97" s="14">
        <v>92.3</v>
      </c>
      <c r="F97" s="13">
        <f t="shared" si="20"/>
        <v>682.0899999999999</v>
      </c>
      <c r="G97" s="13">
        <v>513.38</v>
      </c>
      <c r="H97" s="14">
        <v>277.67</v>
      </c>
      <c r="I97" s="13">
        <f t="shared" si="16"/>
        <v>235.70999999999998</v>
      </c>
      <c r="J97" s="13">
        <f t="shared" si="15"/>
        <v>2749.96</v>
      </c>
      <c r="K97" s="13">
        <f t="shared" si="17"/>
        <v>917.8</v>
      </c>
      <c r="L97" s="14">
        <f t="shared" si="18"/>
        <v>78.99115404043516</v>
      </c>
      <c r="M97" s="14">
        <f t="shared" si="19"/>
        <v>54.086641474151705</v>
      </c>
    </row>
    <row r="98" spans="1:15" ht="12.75">
      <c r="A98">
        <v>16</v>
      </c>
      <c r="B98" s="13" t="s">
        <v>98</v>
      </c>
      <c r="C98" s="13">
        <v>3672.07</v>
      </c>
      <c r="D98" s="13">
        <v>2517.77</v>
      </c>
      <c r="E98" s="13">
        <v>81.61</v>
      </c>
      <c r="F98" s="11">
        <f t="shared" si="20"/>
        <v>1072.6900000000003</v>
      </c>
      <c r="G98" s="14">
        <v>1100.8</v>
      </c>
      <c r="H98" s="13">
        <v>421.42</v>
      </c>
      <c r="I98" s="14">
        <f t="shared" si="16"/>
        <v>679.3799999999999</v>
      </c>
      <c r="J98" s="13">
        <f t="shared" si="15"/>
        <v>2939.19</v>
      </c>
      <c r="K98" s="13">
        <f t="shared" si="17"/>
        <v>1752.0700000000002</v>
      </c>
      <c r="L98" s="14">
        <f t="shared" si="18"/>
        <v>70.78786624437987</v>
      </c>
      <c r="M98" s="14">
        <f t="shared" si="19"/>
        <v>38.28306686046512</v>
      </c>
      <c r="O98" s="68"/>
    </row>
    <row r="99" spans="1:15" ht="12.75">
      <c r="A99">
        <v>17</v>
      </c>
      <c r="B99" s="13" t="s">
        <v>99</v>
      </c>
      <c r="C99" s="13">
        <v>6800.23</v>
      </c>
      <c r="D99" s="13">
        <v>4835.76</v>
      </c>
      <c r="E99" s="13">
        <v>154.33</v>
      </c>
      <c r="F99" s="24">
        <f t="shared" si="20"/>
        <v>1810.1399999999994</v>
      </c>
      <c r="G99" s="13">
        <v>1939.09</v>
      </c>
      <c r="H99" s="13">
        <v>776.46</v>
      </c>
      <c r="I99" s="13">
        <f t="shared" si="16"/>
        <v>1162.6299999999999</v>
      </c>
      <c r="J99" s="13">
        <f t="shared" si="15"/>
        <v>5612.22</v>
      </c>
      <c r="K99" s="13">
        <f t="shared" si="17"/>
        <v>2972.7699999999995</v>
      </c>
      <c r="L99" s="14">
        <f t="shared" si="18"/>
        <v>73.38119445959917</v>
      </c>
      <c r="M99" s="14">
        <f t="shared" si="19"/>
        <v>40.04249415963159</v>
      </c>
      <c r="O99" s="68"/>
    </row>
    <row r="100" spans="1:15" ht="12.75">
      <c r="A100">
        <v>18</v>
      </c>
      <c r="B100" s="13" t="s">
        <v>100</v>
      </c>
      <c r="C100" s="13">
        <v>4702.19</v>
      </c>
      <c r="D100" s="13">
        <v>3733.71</v>
      </c>
      <c r="E100" s="14">
        <v>134.3</v>
      </c>
      <c r="F100" s="24">
        <f t="shared" si="20"/>
        <v>834.1799999999996</v>
      </c>
      <c r="G100" s="13">
        <v>901.85</v>
      </c>
      <c r="H100" s="13">
        <v>447.49</v>
      </c>
      <c r="I100" s="13">
        <f t="shared" si="16"/>
        <v>454.36</v>
      </c>
      <c r="J100" s="13">
        <f t="shared" si="15"/>
        <v>4181.2</v>
      </c>
      <c r="K100" s="13">
        <f t="shared" si="17"/>
        <v>1288.5399999999995</v>
      </c>
      <c r="L100" s="14">
        <f t="shared" si="18"/>
        <v>82.25975556070684</v>
      </c>
      <c r="M100" s="14">
        <f t="shared" si="19"/>
        <v>49.61911626101902</v>
      </c>
      <c r="O100" s="68"/>
    </row>
    <row r="101" spans="1:17" ht="12.75">
      <c r="A101">
        <v>19</v>
      </c>
      <c r="B101" s="13" t="s">
        <v>101</v>
      </c>
      <c r="C101" s="13">
        <v>94875.95</v>
      </c>
      <c r="D101" s="14">
        <f>66816.16+12059.79</f>
        <v>78875.95000000001</v>
      </c>
      <c r="E101" s="14">
        <v>1723.47</v>
      </c>
      <c r="F101" s="13">
        <f t="shared" si="20"/>
        <v>14276.529999999986</v>
      </c>
      <c r="G101" s="14">
        <v>51874.69</v>
      </c>
      <c r="H101" s="14">
        <v>23857.42</v>
      </c>
      <c r="I101" s="13">
        <f t="shared" si="16"/>
        <v>28017.270000000004</v>
      </c>
      <c r="J101" s="13">
        <f t="shared" si="15"/>
        <v>102733.37000000001</v>
      </c>
      <c r="K101" s="13">
        <f>F101+I101</f>
        <v>42293.79999999999</v>
      </c>
      <c r="L101" s="14">
        <f>SUM(D101+E101)/C101%</f>
        <v>84.95242471880388</v>
      </c>
      <c r="M101" s="14">
        <f>SUM(H101/G101%)</f>
        <v>45.99048206360366</v>
      </c>
      <c r="O101" s="68"/>
      <c r="P101" s="68"/>
      <c r="Q101" s="68"/>
    </row>
    <row r="102" spans="1:17" ht="12.75">
      <c r="A102">
        <v>20</v>
      </c>
      <c r="B102" s="13" t="s">
        <v>102</v>
      </c>
      <c r="C102" s="13">
        <v>17238.19</v>
      </c>
      <c r="D102" s="13">
        <v>11853.87</v>
      </c>
      <c r="E102" s="14">
        <v>375.9</v>
      </c>
      <c r="F102" s="13">
        <f t="shared" si="20"/>
        <v>5008.419999999998</v>
      </c>
      <c r="G102" s="13">
        <v>7875.89</v>
      </c>
      <c r="H102" s="14">
        <v>2893.88</v>
      </c>
      <c r="I102" s="13">
        <f t="shared" si="16"/>
        <v>4982.01</v>
      </c>
      <c r="J102" s="13">
        <f t="shared" si="15"/>
        <v>14747.75</v>
      </c>
      <c r="K102" s="13">
        <f t="shared" si="17"/>
        <v>9990.429999999998</v>
      </c>
      <c r="L102" s="14">
        <f t="shared" si="18"/>
        <v>70.94578955215137</v>
      </c>
      <c r="M102" s="14">
        <f t="shared" si="19"/>
        <v>36.743529937568965</v>
      </c>
      <c r="O102" s="68"/>
      <c r="Q102" s="68"/>
    </row>
    <row r="103" spans="1:15" ht="12.75">
      <c r="A103">
        <v>21</v>
      </c>
      <c r="B103" s="13" t="s">
        <v>103</v>
      </c>
      <c r="C103" s="13">
        <v>822.69</v>
      </c>
      <c r="D103" s="13">
        <v>491.47</v>
      </c>
      <c r="E103" s="13">
        <v>13.68</v>
      </c>
      <c r="F103" s="13">
        <f t="shared" si="20"/>
        <v>317.54</v>
      </c>
      <c r="G103" s="14">
        <v>556.4</v>
      </c>
      <c r="H103" s="13">
        <v>153.05</v>
      </c>
      <c r="I103" s="13">
        <f t="shared" si="16"/>
        <v>403.34999999999997</v>
      </c>
      <c r="J103" s="13">
        <f t="shared" si="15"/>
        <v>644.52</v>
      </c>
      <c r="K103" s="13">
        <f t="shared" si="17"/>
        <v>720.89</v>
      </c>
      <c r="L103" s="14">
        <f t="shared" si="18"/>
        <v>61.40222927226537</v>
      </c>
      <c r="M103" s="14">
        <f t="shared" si="19"/>
        <v>27.507189072609634</v>
      </c>
      <c r="O103" s="68"/>
    </row>
    <row r="104" spans="1:17" ht="12.75">
      <c r="A104">
        <v>22</v>
      </c>
      <c r="B104" s="13" t="s">
        <v>104</v>
      </c>
      <c r="C104" s="13">
        <v>6753.35</v>
      </c>
      <c r="D104" s="13">
        <v>4463.33</v>
      </c>
      <c r="E104" s="13">
        <v>123.46</v>
      </c>
      <c r="F104" s="13">
        <f t="shared" si="20"/>
        <v>2166.5600000000004</v>
      </c>
      <c r="G104" s="13">
        <v>3781.73</v>
      </c>
      <c r="H104" s="14">
        <v>1586.31</v>
      </c>
      <c r="I104" s="14">
        <f t="shared" si="16"/>
        <v>2195.42</v>
      </c>
      <c r="J104" s="13">
        <f t="shared" si="15"/>
        <v>6049.639999999999</v>
      </c>
      <c r="K104" s="13">
        <f t="shared" si="17"/>
        <v>4361.9800000000005</v>
      </c>
      <c r="L104" s="14">
        <f t="shared" si="18"/>
        <v>67.91873662700733</v>
      </c>
      <c r="M104" s="14">
        <f t="shared" si="19"/>
        <v>41.94667519891689</v>
      </c>
      <c r="O104" s="48"/>
      <c r="P104" s="47"/>
      <c r="Q104" s="48"/>
    </row>
    <row r="105" spans="2:18" ht="15">
      <c r="B105" s="59" t="s">
        <v>158</v>
      </c>
      <c r="C105" s="11">
        <f aca="true" t="shared" si="21" ref="C105:K105">SUM(C83:C104)</f>
        <v>227917.21000000002</v>
      </c>
      <c r="D105" s="11">
        <f t="shared" si="21"/>
        <v>168487.94</v>
      </c>
      <c r="E105" s="11">
        <f t="shared" si="21"/>
        <v>4494.87</v>
      </c>
      <c r="F105" s="11">
        <f t="shared" si="21"/>
        <v>54934.39999999998</v>
      </c>
      <c r="G105" s="11">
        <f t="shared" si="21"/>
        <v>106862.69</v>
      </c>
      <c r="H105" s="24">
        <f t="shared" si="21"/>
        <v>45652.4</v>
      </c>
      <c r="I105" s="24">
        <f t="shared" si="21"/>
        <v>61210.29</v>
      </c>
      <c r="J105" s="11">
        <f>D105+H105</f>
        <v>214140.34</v>
      </c>
      <c r="K105" s="11">
        <f t="shared" si="21"/>
        <v>116144.68999999997</v>
      </c>
      <c r="L105" s="24">
        <f t="shared" si="18"/>
        <v>75.89721285198252</v>
      </c>
      <c r="M105" s="24">
        <f t="shared" si="19"/>
        <v>42.720616522005955</v>
      </c>
      <c r="O105" s="72"/>
      <c r="P105" s="68"/>
      <c r="Q105" s="68"/>
      <c r="R105" s="70"/>
    </row>
    <row r="110" spans="2:4" ht="12.75">
      <c r="B110" s="45" t="s">
        <v>111</v>
      </c>
      <c r="C110" s="51"/>
      <c r="D110" s="51"/>
    </row>
    <row r="111" spans="2:13" ht="12.75">
      <c r="B111" s="20"/>
      <c r="C111" s="49" t="s">
        <v>68</v>
      </c>
      <c r="D111" s="49" t="s">
        <v>74</v>
      </c>
      <c r="E111" s="49" t="s">
        <v>72</v>
      </c>
      <c r="F111" s="49" t="s">
        <v>75</v>
      </c>
      <c r="G111" s="49" t="s">
        <v>78</v>
      </c>
      <c r="H111" s="49" t="s">
        <v>74</v>
      </c>
      <c r="I111" s="49" t="s">
        <v>75</v>
      </c>
      <c r="J111" s="49" t="s">
        <v>117</v>
      </c>
      <c r="K111" s="49" t="s">
        <v>82</v>
      </c>
      <c r="L111" s="49" t="s">
        <v>105</v>
      </c>
      <c r="M111" s="49" t="s">
        <v>105</v>
      </c>
    </row>
    <row r="112" spans="2:13" ht="12.75">
      <c r="B112" s="6" t="s">
        <v>67</v>
      </c>
      <c r="C112" s="6" t="s">
        <v>69</v>
      </c>
      <c r="D112" s="6" t="s">
        <v>70</v>
      </c>
      <c r="E112" s="6" t="s">
        <v>124</v>
      </c>
      <c r="F112" s="6" t="s">
        <v>76</v>
      </c>
      <c r="G112" s="6" t="s">
        <v>80</v>
      </c>
      <c r="H112" s="6" t="s">
        <v>80</v>
      </c>
      <c r="I112" s="6" t="s">
        <v>76</v>
      </c>
      <c r="J112" s="6" t="s">
        <v>118</v>
      </c>
      <c r="K112" s="6" t="s">
        <v>76</v>
      </c>
      <c r="L112" s="6" t="s">
        <v>73</v>
      </c>
      <c r="M112" s="6" t="s">
        <v>78</v>
      </c>
    </row>
    <row r="113" spans="2:13" ht="12.75">
      <c r="B113" s="41"/>
      <c r="C113" s="50"/>
      <c r="D113" s="50" t="s">
        <v>71</v>
      </c>
      <c r="E113" s="50" t="s">
        <v>123</v>
      </c>
      <c r="F113" s="50" t="s">
        <v>77</v>
      </c>
      <c r="G113" s="50" t="s">
        <v>81</v>
      </c>
      <c r="H113" s="50" t="s">
        <v>81</v>
      </c>
      <c r="I113" s="50" t="s">
        <v>79</v>
      </c>
      <c r="J113" s="50" t="s">
        <v>119</v>
      </c>
      <c r="K113" s="50"/>
      <c r="L113" s="50" t="s">
        <v>106</v>
      </c>
      <c r="M113" s="50" t="s">
        <v>106</v>
      </c>
    </row>
    <row r="114" spans="2:13" ht="12.75">
      <c r="B114" s="13" t="s">
        <v>83</v>
      </c>
      <c r="C114" s="13">
        <v>228.78</v>
      </c>
      <c r="D114" s="13">
        <v>128.94</v>
      </c>
      <c r="E114" s="14">
        <v>2.6</v>
      </c>
      <c r="F114" s="13">
        <f aca="true" t="shared" si="22" ref="F114:F134">C114-D114-E114</f>
        <v>97.24000000000001</v>
      </c>
      <c r="G114" s="13">
        <v>239.25</v>
      </c>
      <c r="H114" s="13">
        <v>264.16</v>
      </c>
      <c r="I114" s="13">
        <f aca="true" t="shared" si="23" ref="I114:I135">G114-H114</f>
        <v>-24.910000000000025</v>
      </c>
      <c r="J114" s="13">
        <f aca="true" t="shared" si="24" ref="J114:J135">D114+H114</f>
        <v>393.1</v>
      </c>
      <c r="K114" s="13">
        <f>F114+I114</f>
        <v>72.32999999999998</v>
      </c>
      <c r="L114" s="14">
        <f>SUM(D114+E114)/C114%</f>
        <v>57.496284640265756</v>
      </c>
      <c r="M114" s="14">
        <f>SUM(H114/G114%)</f>
        <v>110.41170323928945</v>
      </c>
    </row>
    <row r="115" spans="2:13" ht="12.75">
      <c r="B115" s="13" t="s">
        <v>84</v>
      </c>
      <c r="C115" s="13">
        <v>230.09</v>
      </c>
      <c r="D115" s="13">
        <v>136.28</v>
      </c>
      <c r="E115" s="13">
        <v>1.52</v>
      </c>
      <c r="F115" s="13">
        <f t="shared" si="22"/>
        <v>92.29</v>
      </c>
      <c r="G115" s="13">
        <v>99.52</v>
      </c>
      <c r="H115" s="13"/>
      <c r="I115" s="13">
        <f t="shared" si="23"/>
        <v>99.52</v>
      </c>
      <c r="J115" s="13">
        <f t="shared" si="24"/>
        <v>136.28</v>
      </c>
      <c r="K115" s="13">
        <f aca="true" t="shared" si="25" ref="K115:K135">F115+I115</f>
        <v>191.81</v>
      </c>
      <c r="L115" s="14">
        <f aca="true" t="shared" si="26" ref="L115:L137">SUM(D115+E115)/C115%</f>
        <v>59.88960841409884</v>
      </c>
      <c r="M115" s="14">
        <f aca="true" t="shared" si="27" ref="M115:M137">SUM(H115/G115%)</f>
        <v>0</v>
      </c>
    </row>
    <row r="116" spans="2:13" ht="12.75">
      <c r="B116" s="13" t="s">
        <v>85</v>
      </c>
      <c r="C116" s="13">
        <v>266.04</v>
      </c>
      <c r="D116" s="13">
        <v>236.47</v>
      </c>
      <c r="E116" s="14">
        <v>2.3</v>
      </c>
      <c r="F116" s="13">
        <f t="shared" si="22"/>
        <v>27.27000000000002</v>
      </c>
      <c r="G116" s="13">
        <v>4.71</v>
      </c>
      <c r="H116" s="13">
        <v>5.26</v>
      </c>
      <c r="I116" s="13">
        <f t="shared" si="23"/>
        <v>-0.5499999999999998</v>
      </c>
      <c r="J116" s="13">
        <f t="shared" si="24"/>
        <v>241.73</v>
      </c>
      <c r="K116" s="13">
        <f t="shared" si="25"/>
        <v>26.72000000000002</v>
      </c>
      <c r="L116" s="14">
        <f t="shared" si="26"/>
        <v>89.74966170500677</v>
      </c>
      <c r="M116" s="14">
        <f t="shared" si="27"/>
        <v>111.67728237791931</v>
      </c>
    </row>
    <row r="117" spans="2:15" ht="12.75">
      <c r="B117" s="13" t="s">
        <v>86</v>
      </c>
      <c r="C117" s="14">
        <v>228.46</v>
      </c>
      <c r="D117" s="14">
        <v>179.85</v>
      </c>
      <c r="E117" s="13">
        <v>3.73</v>
      </c>
      <c r="F117" s="14">
        <f t="shared" si="22"/>
        <v>44.88000000000002</v>
      </c>
      <c r="G117" s="13">
        <v>129.49</v>
      </c>
      <c r="H117" s="13">
        <v>105.69</v>
      </c>
      <c r="I117" s="14">
        <f t="shared" si="23"/>
        <v>23.80000000000001</v>
      </c>
      <c r="J117" s="13">
        <f t="shared" si="24"/>
        <v>285.53999999999996</v>
      </c>
      <c r="K117" s="13">
        <f t="shared" si="25"/>
        <v>68.68000000000004</v>
      </c>
      <c r="L117" s="14">
        <f t="shared" si="26"/>
        <v>80.35542326884355</v>
      </c>
      <c r="M117" s="14">
        <f t="shared" si="27"/>
        <v>81.62020233222641</v>
      </c>
      <c r="O117" s="68"/>
    </row>
    <row r="118" spans="2:17" ht="12.75">
      <c r="B118" s="13" t="s">
        <v>87</v>
      </c>
      <c r="C118" s="13">
        <v>388.22</v>
      </c>
      <c r="D118" s="13">
        <v>140.76</v>
      </c>
      <c r="E118" s="13">
        <v>5.25</v>
      </c>
      <c r="F118" s="13">
        <f t="shared" si="22"/>
        <v>242.21000000000004</v>
      </c>
      <c r="G118" s="13">
        <v>138.65</v>
      </c>
      <c r="H118" s="14">
        <v>68.4</v>
      </c>
      <c r="I118" s="13">
        <f t="shared" si="23"/>
        <v>70.25</v>
      </c>
      <c r="J118" s="13">
        <f t="shared" si="24"/>
        <v>209.16</v>
      </c>
      <c r="K118" s="13">
        <f t="shared" si="25"/>
        <v>312.46000000000004</v>
      </c>
      <c r="L118" s="14">
        <f t="shared" si="26"/>
        <v>37.61011797434444</v>
      </c>
      <c r="M118" s="14">
        <f t="shared" si="27"/>
        <v>49.33285250631086</v>
      </c>
      <c r="Q118" s="68"/>
    </row>
    <row r="119" spans="2:13" ht="12.75">
      <c r="B119" s="13" t="s">
        <v>88</v>
      </c>
      <c r="C119" s="13">
        <v>751.76</v>
      </c>
      <c r="D119" s="13">
        <v>670.84</v>
      </c>
      <c r="E119" s="13">
        <v>8.18</v>
      </c>
      <c r="F119" s="13">
        <f t="shared" si="22"/>
        <v>72.73999999999995</v>
      </c>
      <c r="G119" s="13">
        <v>98.09</v>
      </c>
      <c r="H119" s="13">
        <v>30.17</v>
      </c>
      <c r="I119" s="13">
        <f t="shared" si="23"/>
        <v>67.92</v>
      </c>
      <c r="J119" s="13">
        <f t="shared" si="24"/>
        <v>701.01</v>
      </c>
      <c r="K119" s="13">
        <f t="shared" si="25"/>
        <v>140.65999999999997</v>
      </c>
      <c r="L119" s="14">
        <f t="shared" si="26"/>
        <v>90.32403958710226</v>
      </c>
      <c r="M119" s="14">
        <f t="shared" si="27"/>
        <v>30.757467631766747</v>
      </c>
    </row>
    <row r="120" spans="2:13" ht="12.75">
      <c r="B120" s="13" t="s">
        <v>89</v>
      </c>
      <c r="C120" s="13">
        <v>74.74</v>
      </c>
      <c r="D120" s="13">
        <v>60.44</v>
      </c>
      <c r="E120" s="13">
        <v>2.94</v>
      </c>
      <c r="F120" s="13">
        <f t="shared" si="22"/>
        <v>11.359999999999998</v>
      </c>
      <c r="G120" s="13">
        <v>2.28</v>
      </c>
      <c r="H120" s="13"/>
      <c r="I120" s="13">
        <f t="shared" si="23"/>
        <v>2.28</v>
      </c>
      <c r="J120" s="13">
        <f t="shared" si="24"/>
        <v>60.44</v>
      </c>
      <c r="K120" s="13">
        <f t="shared" si="25"/>
        <v>13.639999999999997</v>
      </c>
      <c r="L120" s="14">
        <f t="shared" si="26"/>
        <v>84.8006422263848</v>
      </c>
      <c r="M120" s="14">
        <f t="shared" si="27"/>
        <v>0</v>
      </c>
    </row>
    <row r="121" spans="2:17" ht="12.75">
      <c r="B121" s="13" t="s">
        <v>90</v>
      </c>
      <c r="C121" s="13">
        <v>289.05</v>
      </c>
      <c r="D121" s="13">
        <v>222.51</v>
      </c>
      <c r="E121" s="13">
        <v>11.65</v>
      </c>
      <c r="F121" s="13">
        <f t="shared" si="22"/>
        <v>54.89000000000002</v>
      </c>
      <c r="G121" s="14">
        <v>45.61</v>
      </c>
      <c r="H121" s="13">
        <v>47.84</v>
      </c>
      <c r="I121" s="13">
        <f t="shared" si="23"/>
        <v>-2.230000000000004</v>
      </c>
      <c r="J121" s="13">
        <f t="shared" si="24"/>
        <v>270.35</v>
      </c>
      <c r="K121" s="13">
        <f t="shared" si="25"/>
        <v>52.66000000000002</v>
      </c>
      <c r="L121" s="14">
        <f t="shared" si="26"/>
        <v>81.01020584673931</v>
      </c>
      <c r="M121" s="14">
        <f t="shared" si="27"/>
        <v>104.889278666959</v>
      </c>
      <c r="P121" s="68"/>
      <c r="Q121" s="68"/>
    </row>
    <row r="122" spans="2:16" ht="12.75">
      <c r="B122" s="13" t="s">
        <v>91</v>
      </c>
      <c r="C122" s="13">
        <v>17.02</v>
      </c>
      <c r="D122" s="13">
        <v>13.66</v>
      </c>
      <c r="E122" s="13">
        <v>0.24</v>
      </c>
      <c r="F122" s="13">
        <f t="shared" si="22"/>
        <v>3.119999999999999</v>
      </c>
      <c r="G122" s="13">
        <v>22.63</v>
      </c>
      <c r="H122" s="14">
        <v>0.2</v>
      </c>
      <c r="I122" s="13">
        <f t="shared" si="23"/>
        <v>22.43</v>
      </c>
      <c r="J122" s="14">
        <f t="shared" si="24"/>
        <v>13.86</v>
      </c>
      <c r="K122" s="13">
        <f t="shared" si="25"/>
        <v>25.549999999999997</v>
      </c>
      <c r="L122" s="14">
        <f t="shared" si="26"/>
        <v>81.66862514688603</v>
      </c>
      <c r="M122" s="14">
        <f t="shared" si="27"/>
        <v>0.8837825894829873</v>
      </c>
      <c r="P122" s="68"/>
    </row>
    <row r="123" spans="2:17" ht="12.75">
      <c r="B123" s="13" t="s">
        <v>92</v>
      </c>
      <c r="C123" s="13">
        <v>156.68</v>
      </c>
      <c r="D123" s="14">
        <v>100.5</v>
      </c>
      <c r="E123" s="13">
        <v>1.47</v>
      </c>
      <c r="F123" s="13">
        <f t="shared" si="22"/>
        <v>54.71000000000001</v>
      </c>
      <c r="G123" s="13">
        <v>60.59</v>
      </c>
      <c r="H123" s="14">
        <v>1.63</v>
      </c>
      <c r="I123" s="13">
        <f t="shared" si="23"/>
        <v>58.96</v>
      </c>
      <c r="J123" s="14">
        <f t="shared" si="24"/>
        <v>102.13</v>
      </c>
      <c r="K123" s="13">
        <f t="shared" si="25"/>
        <v>113.67000000000002</v>
      </c>
      <c r="L123" s="14">
        <f t="shared" si="26"/>
        <v>65.08169517487873</v>
      </c>
      <c r="M123" s="14">
        <f t="shared" si="27"/>
        <v>2.6902129064202014</v>
      </c>
      <c r="P123" s="68"/>
      <c r="Q123" s="68"/>
    </row>
    <row r="124" spans="2:15" ht="12.75">
      <c r="B124" s="13" t="s">
        <v>93</v>
      </c>
      <c r="C124" s="13">
        <v>28560.85</v>
      </c>
      <c r="D124" s="14">
        <v>27037.82</v>
      </c>
      <c r="E124" s="13">
        <v>1270.84</v>
      </c>
      <c r="F124" s="13">
        <v>252.14</v>
      </c>
      <c r="G124" s="13">
        <v>204.22</v>
      </c>
      <c r="H124" s="13">
        <v>105.2</v>
      </c>
      <c r="I124" s="13">
        <f t="shared" si="23"/>
        <v>99.02</v>
      </c>
      <c r="J124" s="13">
        <f t="shared" si="24"/>
        <v>27143.02</v>
      </c>
      <c r="K124" s="13">
        <f t="shared" si="25"/>
        <v>351.15999999999997</v>
      </c>
      <c r="L124" s="14">
        <f t="shared" si="26"/>
        <v>99.11700807223875</v>
      </c>
      <c r="M124" s="14">
        <f t="shared" si="27"/>
        <v>51.51307413573598</v>
      </c>
      <c r="O124" s="68"/>
    </row>
    <row r="125" spans="2:16" ht="12.75">
      <c r="B125" s="13" t="s">
        <v>94</v>
      </c>
      <c r="C125" s="13">
        <v>4118.79</v>
      </c>
      <c r="D125" s="13">
        <v>1679.16</v>
      </c>
      <c r="E125" s="13">
        <v>65.74</v>
      </c>
      <c r="F125" s="14">
        <f t="shared" si="22"/>
        <v>2373.8900000000003</v>
      </c>
      <c r="G125" s="13">
        <v>927.63</v>
      </c>
      <c r="H125" s="13">
        <v>646.79</v>
      </c>
      <c r="I125" s="13">
        <f t="shared" si="23"/>
        <v>280.84000000000003</v>
      </c>
      <c r="J125" s="13">
        <f t="shared" si="24"/>
        <v>2325.95</v>
      </c>
      <c r="K125" s="13">
        <f t="shared" si="25"/>
        <v>2654.7300000000005</v>
      </c>
      <c r="L125" s="14">
        <f t="shared" si="26"/>
        <v>42.36438371463464</v>
      </c>
      <c r="M125" s="14">
        <f t="shared" si="27"/>
        <v>69.72499811347197</v>
      </c>
      <c r="P125" s="68"/>
    </row>
    <row r="126" spans="2:13" ht="12.75">
      <c r="B126" s="13" t="s">
        <v>95</v>
      </c>
      <c r="C126" s="13">
        <v>971.73</v>
      </c>
      <c r="D126" s="14">
        <v>418.17</v>
      </c>
      <c r="E126" s="14">
        <v>20.83</v>
      </c>
      <c r="F126" s="13">
        <f t="shared" si="22"/>
        <v>532.7299999999999</v>
      </c>
      <c r="G126" s="13">
        <v>281.84</v>
      </c>
      <c r="H126" s="13">
        <v>279.54</v>
      </c>
      <c r="I126" s="14">
        <f t="shared" si="23"/>
        <v>2.2999999999999545</v>
      </c>
      <c r="J126" s="13">
        <f t="shared" si="24"/>
        <v>697.71</v>
      </c>
      <c r="K126" s="13">
        <f t="shared" si="25"/>
        <v>535.0299999999999</v>
      </c>
      <c r="L126" s="14">
        <f t="shared" si="26"/>
        <v>45.17715826412687</v>
      </c>
      <c r="M126" s="14">
        <f t="shared" si="27"/>
        <v>99.1839341470338</v>
      </c>
    </row>
    <row r="127" spans="2:13" ht="12.75">
      <c r="B127" s="13" t="s">
        <v>96</v>
      </c>
      <c r="C127" s="13">
        <v>306.81</v>
      </c>
      <c r="D127" s="13">
        <v>143.47</v>
      </c>
      <c r="E127" s="13">
        <v>2.93</v>
      </c>
      <c r="F127" s="13">
        <f t="shared" si="22"/>
        <v>160.41</v>
      </c>
      <c r="G127" s="13">
        <v>86.16</v>
      </c>
      <c r="H127" s="13">
        <v>98.96</v>
      </c>
      <c r="I127" s="14">
        <f t="shared" si="23"/>
        <v>-12.799999999999997</v>
      </c>
      <c r="J127" s="13">
        <f t="shared" si="24"/>
        <v>242.43</v>
      </c>
      <c r="K127" s="13">
        <f t="shared" si="25"/>
        <v>147.61</v>
      </c>
      <c r="L127" s="14">
        <f t="shared" si="26"/>
        <v>47.71682800430234</v>
      </c>
      <c r="M127" s="14">
        <f t="shared" si="27"/>
        <v>114.8560817084494</v>
      </c>
    </row>
    <row r="128" spans="2:13" ht="12.75">
      <c r="B128" s="13" t="s">
        <v>97</v>
      </c>
      <c r="C128" s="13">
        <v>424.66</v>
      </c>
      <c r="D128" s="13">
        <v>419.79</v>
      </c>
      <c r="E128" s="13">
        <v>4.99</v>
      </c>
      <c r="F128" s="13">
        <f t="shared" si="22"/>
        <v>-0.11999999999999567</v>
      </c>
      <c r="G128" s="13">
        <v>3.98</v>
      </c>
      <c r="H128" s="13"/>
      <c r="I128" s="13">
        <f t="shared" si="23"/>
        <v>3.98</v>
      </c>
      <c r="J128" s="13">
        <f t="shared" si="24"/>
        <v>419.79</v>
      </c>
      <c r="K128" s="13">
        <f t="shared" si="25"/>
        <v>3.8600000000000043</v>
      </c>
      <c r="L128" s="14">
        <f t="shared" si="26"/>
        <v>100.028257900438</v>
      </c>
      <c r="M128" s="14">
        <f t="shared" si="27"/>
        <v>0</v>
      </c>
    </row>
    <row r="129" spans="2:16" ht="12.75">
      <c r="B129" s="13" t="s">
        <v>98</v>
      </c>
      <c r="C129" s="13">
        <v>243.25</v>
      </c>
      <c r="D129" s="13">
        <v>177.61</v>
      </c>
      <c r="E129" s="13">
        <v>7.29</v>
      </c>
      <c r="F129" s="13">
        <f t="shared" si="22"/>
        <v>58.34999999999999</v>
      </c>
      <c r="G129" s="13"/>
      <c r="H129" s="13"/>
      <c r="I129" s="13">
        <f t="shared" si="23"/>
        <v>0</v>
      </c>
      <c r="J129" s="13">
        <f t="shared" si="24"/>
        <v>177.61</v>
      </c>
      <c r="K129" s="13">
        <f t="shared" si="25"/>
        <v>58.34999999999999</v>
      </c>
      <c r="L129" s="14">
        <f t="shared" si="26"/>
        <v>76.01233299075025</v>
      </c>
      <c r="M129" s="14">
        <v>0</v>
      </c>
      <c r="P129" s="68"/>
    </row>
    <row r="130" spans="2:13" ht="12.75">
      <c r="B130" s="13" t="s">
        <v>99</v>
      </c>
      <c r="C130" s="14">
        <v>355.84</v>
      </c>
      <c r="D130" s="13">
        <v>259.92</v>
      </c>
      <c r="E130" s="13">
        <v>2.23</v>
      </c>
      <c r="F130" s="14">
        <f t="shared" si="22"/>
        <v>93.68999999999996</v>
      </c>
      <c r="G130" s="13">
        <v>35.35</v>
      </c>
      <c r="H130" s="13">
        <v>15.12</v>
      </c>
      <c r="I130" s="13">
        <f t="shared" si="23"/>
        <v>20.230000000000004</v>
      </c>
      <c r="J130" s="13">
        <f t="shared" si="24"/>
        <v>275.04</v>
      </c>
      <c r="K130" s="13">
        <f t="shared" si="25"/>
        <v>113.91999999999996</v>
      </c>
      <c r="L130" s="14">
        <f t="shared" si="26"/>
        <v>73.67075089928059</v>
      </c>
      <c r="M130" s="14">
        <f t="shared" si="27"/>
        <v>42.77227722772277</v>
      </c>
    </row>
    <row r="131" spans="2:13" ht="12.75">
      <c r="B131" s="13" t="s">
        <v>100</v>
      </c>
      <c r="C131" s="14">
        <v>408</v>
      </c>
      <c r="D131" s="13">
        <v>352.42</v>
      </c>
      <c r="E131" s="13">
        <v>16.45</v>
      </c>
      <c r="F131" s="13">
        <f t="shared" si="22"/>
        <v>39.12999999999998</v>
      </c>
      <c r="G131" s="13"/>
      <c r="H131" s="13"/>
      <c r="I131" s="13">
        <f t="shared" si="23"/>
        <v>0</v>
      </c>
      <c r="J131" s="13">
        <f t="shared" si="24"/>
        <v>352.42</v>
      </c>
      <c r="K131" s="13">
        <f t="shared" si="25"/>
        <v>39.12999999999998</v>
      </c>
      <c r="L131" s="14">
        <f t="shared" si="26"/>
        <v>90.4093137254902</v>
      </c>
      <c r="M131" s="14">
        <v>0</v>
      </c>
    </row>
    <row r="132" spans="2:15" ht="12.75">
      <c r="B132" s="13" t="s">
        <v>101</v>
      </c>
      <c r="C132" s="13">
        <v>78656.28</v>
      </c>
      <c r="D132" s="13">
        <v>64705.3</v>
      </c>
      <c r="E132" s="13">
        <v>1712.58</v>
      </c>
      <c r="F132" s="14">
        <f t="shared" si="22"/>
        <v>12238.399999999996</v>
      </c>
      <c r="G132" s="13">
        <v>33285.75</v>
      </c>
      <c r="H132" s="13">
        <v>25997.05</v>
      </c>
      <c r="I132" s="14">
        <f t="shared" si="23"/>
        <v>7288.700000000001</v>
      </c>
      <c r="J132" s="13">
        <f t="shared" si="24"/>
        <v>90702.35</v>
      </c>
      <c r="K132" s="13">
        <f t="shared" si="25"/>
        <v>19527.1</v>
      </c>
      <c r="L132" s="14">
        <f t="shared" si="26"/>
        <v>84.44065750376194</v>
      </c>
      <c r="M132" s="14">
        <f t="shared" si="27"/>
        <v>78.10264152077089</v>
      </c>
      <c r="O132" s="68"/>
    </row>
    <row r="133" spans="2:13" ht="12.75">
      <c r="B133" s="13" t="s">
        <v>102</v>
      </c>
      <c r="C133" s="13">
        <v>3331.21</v>
      </c>
      <c r="D133" s="13">
        <v>3023.53</v>
      </c>
      <c r="E133" s="14">
        <v>52.7</v>
      </c>
      <c r="F133" s="13">
        <f t="shared" si="22"/>
        <v>254.97999999999985</v>
      </c>
      <c r="G133" s="13">
        <v>781.42</v>
      </c>
      <c r="H133" s="13">
        <v>502.26</v>
      </c>
      <c r="I133" s="13">
        <f t="shared" si="23"/>
        <v>279.15999999999997</v>
      </c>
      <c r="J133" s="13">
        <f t="shared" si="24"/>
        <v>3525.79</v>
      </c>
      <c r="K133" s="13">
        <f t="shared" si="25"/>
        <v>534.1399999999999</v>
      </c>
      <c r="L133" s="14">
        <f t="shared" si="26"/>
        <v>92.34572422633217</v>
      </c>
      <c r="M133" s="14">
        <f t="shared" si="27"/>
        <v>64.27529369609174</v>
      </c>
    </row>
    <row r="134" spans="2:15" ht="12.75">
      <c r="B134" s="13" t="s">
        <v>103</v>
      </c>
      <c r="C134" s="14">
        <v>113.7</v>
      </c>
      <c r="D134" s="13">
        <v>17.42</v>
      </c>
      <c r="E134" s="13">
        <v>0.91</v>
      </c>
      <c r="F134" s="14">
        <f t="shared" si="22"/>
        <v>95.37</v>
      </c>
      <c r="G134" s="13">
        <v>8.36</v>
      </c>
      <c r="H134" s="13"/>
      <c r="I134" s="13">
        <f t="shared" si="23"/>
        <v>8.36</v>
      </c>
      <c r="J134" s="13">
        <f t="shared" si="24"/>
        <v>17.42</v>
      </c>
      <c r="K134" s="13">
        <f t="shared" si="25"/>
        <v>103.73</v>
      </c>
      <c r="L134" s="14">
        <f t="shared" si="26"/>
        <v>16.121372031662272</v>
      </c>
      <c r="M134" s="14">
        <f t="shared" si="27"/>
        <v>0</v>
      </c>
      <c r="O134" s="69"/>
    </row>
    <row r="135" spans="2:15" ht="12.75">
      <c r="B135" s="13" t="s">
        <v>104</v>
      </c>
      <c r="C135" s="13">
        <v>145.77</v>
      </c>
      <c r="D135" s="13">
        <v>129.57</v>
      </c>
      <c r="E135" s="13">
        <v>3.84</v>
      </c>
      <c r="F135" s="13">
        <f>C135-D135-E135</f>
        <v>12.360000000000017</v>
      </c>
      <c r="G135" s="13">
        <v>8.92</v>
      </c>
      <c r="H135" s="13"/>
      <c r="I135" s="13">
        <f t="shared" si="23"/>
        <v>8.92</v>
      </c>
      <c r="J135" s="13">
        <f t="shared" si="24"/>
        <v>129.57</v>
      </c>
      <c r="K135" s="13">
        <f t="shared" si="25"/>
        <v>21.280000000000015</v>
      </c>
      <c r="L135" s="14">
        <f t="shared" si="26"/>
        <v>91.52088907182548</v>
      </c>
      <c r="M135" s="14">
        <f t="shared" si="27"/>
        <v>0</v>
      </c>
      <c r="O135" s="48"/>
    </row>
    <row r="136" spans="2:17" ht="15">
      <c r="B136" s="11" t="s">
        <v>159</v>
      </c>
      <c r="C136" s="24">
        <f aca="true" t="shared" si="28" ref="C136:K136">SUM(C114:C135)</f>
        <v>120267.73</v>
      </c>
      <c r="D136" s="24">
        <f t="shared" si="28"/>
        <v>100254.43000000001</v>
      </c>
      <c r="E136" s="11">
        <f t="shared" si="28"/>
        <v>3201.21</v>
      </c>
      <c r="F136" s="11">
        <f t="shared" si="28"/>
        <v>16812.039999999994</v>
      </c>
      <c r="G136" s="11">
        <f>SUM(G114:G135)</f>
        <v>36464.45</v>
      </c>
      <c r="H136" s="11">
        <f>SUM(H114:H135)</f>
        <v>28168.269999999997</v>
      </c>
      <c r="I136" s="11">
        <f t="shared" si="28"/>
        <v>8296.180000000002</v>
      </c>
      <c r="J136" s="24">
        <f>D136+H136</f>
        <v>128422.70000000001</v>
      </c>
      <c r="K136" s="11">
        <f t="shared" si="28"/>
        <v>25108.219999999998</v>
      </c>
      <c r="L136" s="24">
        <f t="shared" si="26"/>
        <v>86.02111306166667</v>
      </c>
      <c r="M136" s="24">
        <f t="shared" si="27"/>
        <v>77.24858046672854</v>
      </c>
      <c r="O136" s="71"/>
      <c r="P136" s="68"/>
      <c r="Q136" s="68"/>
    </row>
    <row r="137" spans="2:13" ht="12.75">
      <c r="B137" s="59" t="s">
        <v>154</v>
      </c>
      <c r="C137" s="11">
        <f>C105+C136</f>
        <v>348184.94</v>
      </c>
      <c r="D137" s="11">
        <f>D105+D136</f>
        <v>268742.37</v>
      </c>
      <c r="E137" s="11">
        <f aca="true" t="shared" si="29" ref="E137:K137">E105+E136</f>
        <v>7696.08</v>
      </c>
      <c r="F137" s="11">
        <f t="shared" si="29"/>
        <v>71746.43999999997</v>
      </c>
      <c r="G137" s="11">
        <f>G105+G136</f>
        <v>143327.14</v>
      </c>
      <c r="H137" s="11">
        <f>H105+H136</f>
        <v>73820.67</v>
      </c>
      <c r="I137" s="11">
        <f t="shared" si="29"/>
        <v>69506.47</v>
      </c>
      <c r="J137" s="24">
        <f>J105+J136</f>
        <v>342563.04000000004</v>
      </c>
      <c r="K137" s="11">
        <f t="shared" si="29"/>
        <v>141252.90999999997</v>
      </c>
      <c r="L137" s="24">
        <f t="shared" si="26"/>
        <v>79.39414323893503</v>
      </c>
      <c r="M137" s="24">
        <f t="shared" si="27"/>
        <v>51.50501851917229</v>
      </c>
    </row>
    <row r="138" ht="12.75">
      <c r="J138" s="70"/>
    </row>
    <row r="139" spans="10:12" ht="12.75">
      <c r="J139" s="68"/>
      <c r="L139">
        <f>(J137+E137)/C140%</f>
        <v>71.26154864800068</v>
      </c>
    </row>
    <row r="140" ht="12.75">
      <c r="C140">
        <f>C137+G137</f>
        <v>491512.08</v>
      </c>
    </row>
  </sheetData>
  <mergeCells count="4">
    <mergeCell ref="B3:M3"/>
    <mergeCell ref="B5:M5"/>
    <mergeCell ref="B75:M75"/>
    <mergeCell ref="B77:M77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166"/>
  <sheetViews>
    <sheetView workbookViewId="0" topLeftCell="A104">
      <selection activeCell="B120" sqref="B120:N164"/>
    </sheetView>
  </sheetViews>
  <sheetFormatPr defaultColWidth="9.140625" defaultRowHeight="12.75"/>
  <cols>
    <col min="1" max="1" width="1.421875" style="0" customWidth="1"/>
    <col min="2" max="2" width="17.28125" style="0" customWidth="1"/>
    <col min="3" max="5" width="10.7109375" style="0" customWidth="1"/>
    <col min="6" max="6" width="10.140625" style="0" customWidth="1"/>
    <col min="7" max="14" width="10.7109375" style="0" customWidth="1"/>
    <col min="15" max="15" width="12.57421875" style="0" bestFit="1" customWidth="1"/>
    <col min="16" max="17" width="9.8515625" style="0" bestFit="1" customWidth="1"/>
    <col min="18" max="18" width="11.00390625" style="0" bestFit="1" customWidth="1"/>
  </cols>
  <sheetData>
    <row r="1" spans="2:14" ht="13.5">
      <c r="B1" s="128"/>
      <c r="C1" s="128"/>
      <c r="D1" s="128"/>
      <c r="E1" s="128"/>
      <c r="F1" s="128"/>
      <c r="G1" s="128"/>
      <c r="H1" s="128"/>
      <c r="I1" s="128"/>
      <c r="J1" s="128"/>
      <c r="K1" s="135" t="s">
        <v>177</v>
      </c>
      <c r="L1" s="128"/>
      <c r="M1" s="128"/>
      <c r="N1" s="128"/>
    </row>
    <row r="2" spans="2:14" ht="15.75">
      <c r="B2" s="170" t="s">
        <v>48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3.5">
      <c r="B3" s="169" t="s">
        <v>201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13.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28"/>
    </row>
    <row r="5" spans="2:14" ht="14.25" thickBot="1">
      <c r="B5" s="132" t="s">
        <v>107</v>
      </c>
      <c r="C5" s="118"/>
      <c r="D5" s="11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ht="82.5" customHeight="1" thickTop="1">
      <c r="B6" s="119" t="s">
        <v>189</v>
      </c>
      <c r="C6" s="120" t="s">
        <v>188</v>
      </c>
      <c r="D6" s="120" t="s">
        <v>186</v>
      </c>
      <c r="E6" s="120" t="s">
        <v>190</v>
      </c>
      <c r="F6" s="120" t="s">
        <v>191</v>
      </c>
      <c r="G6" s="120" t="s">
        <v>192</v>
      </c>
      <c r="H6" s="120" t="s">
        <v>193</v>
      </c>
      <c r="I6" s="120" t="s">
        <v>194</v>
      </c>
      <c r="J6" s="120" t="s">
        <v>195</v>
      </c>
      <c r="K6" s="120" t="s">
        <v>196</v>
      </c>
      <c r="L6" s="120" t="s">
        <v>187</v>
      </c>
      <c r="M6" s="120" t="s">
        <v>197</v>
      </c>
      <c r="N6" s="121" t="s">
        <v>198</v>
      </c>
    </row>
    <row r="7" spans="2:14" ht="13.5">
      <c r="B7" s="115" t="s">
        <v>203</v>
      </c>
      <c r="C7" s="122">
        <v>2422.93</v>
      </c>
      <c r="D7" s="122">
        <v>945.67</v>
      </c>
      <c r="E7" s="122">
        <v>42.44</v>
      </c>
      <c r="F7" s="122">
        <f>C7-D7-E7</f>
        <v>1434.8199999999997</v>
      </c>
      <c r="G7" s="122">
        <v>1822.69</v>
      </c>
      <c r="H7" s="123">
        <v>167.74</v>
      </c>
      <c r="I7" s="122">
        <f>G7-H7</f>
        <v>1654.95</v>
      </c>
      <c r="J7" s="123">
        <f>D7+H7</f>
        <v>1113.4099999999999</v>
      </c>
      <c r="K7" s="123">
        <f>F7+I7</f>
        <v>3089.7699999999995</v>
      </c>
      <c r="L7" s="123">
        <f>SUM(D7+E7)/C7%</f>
        <v>40.78161564717099</v>
      </c>
      <c r="M7" s="123">
        <f>SUM(H7/G7%)</f>
        <v>9.202881455431259</v>
      </c>
      <c r="N7" s="124">
        <f aca="true" t="shared" si="0" ref="N7:N29">(D7+E7+H7)/(C7+G7)%</f>
        <v>27.224527866365808</v>
      </c>
    </row>
    <row r="8" spans="2:14" ht="13.5">
      <c r="B8" s="115" t="s">
        <v>204</v>
      </c>
      <c r="C8" s="123">
        <v>1765.55</v>
      </c>
      <c r="D8" s="122">
        <v>848.09</v>
      </c>
      <c r="E8" s="123">
        <v>37.96</v>
      </c>
      <c r="F8" s="123">
        <f>C8-D8-E8</f>
        <v>879.4999999999999</v>
      </c>
      <c r="G8" s="123">
        <v>744.2</v>
      </c>
      <c r="H8" s="123">
        <v>74.89</v>
      </c>
      <c r="I8" s="122">
        <f aca="true" t="shared" si="1" ref="I8:I28">G8-H8</f>
        <v>669.3100000000001</v>
      </c>
      <c r="J8" s="122">
        <f aca="true" t="shared" si="2" ref="J8:J28">D8+H8</f>
        <v>922.98</v>
      </c>
      <c r="K8" s="122">
        <f aca="true" t="shared" si="3" ref="K8:K28">F8+I8</f>
        <v>1548.81</v>
      </c>
      <c r="L8" s="123">
        <f aca="true" t="shared" si="4" ref="L8:L29">SUM(D8+E8)/C8%</f>
        <v>50.18549460508057</v>
      </c>
      <c r="M8" s="123">
        <f aca="true" t="shared" si="5" ref="M8:M29">SUM(H8/G8%)</f>
        <v>10.063155065842516</v>
      </c>
      <c r="N8" s="124">
        <f>(D8+E8+H8)/(C8+G8)%</f>
        <v>38.288275724673774</v>
      </c>
    </row>
    <row r="9" spans="2:14" ht="13.5">
      <c r="B9" s="115" t="s">
        <v>205</v>
      </c>
      <c r="C9" s="122">
        <v>1933.21</v>
      </c>
      <c r="D9" s="122">
        <v>805.5</v>
      </c>
      <c r="E9" s="123">
        <v>38.7</v>
      </c>
      <c r="F9" s="123">
        <f>C9-D9-E9</f>
        <v>1089.01</v>
      </c>
      <c r="G9" s="122">
        <v>1056.46</v>
      </c>
      <c r="H9" s="123">
        <v>124.43</v>
      </c>
      <c r="I9" s="122">
        <f t="shared" si="1"/>
        <v>932.03</v>
      </c>
      <c r="J9" s="122">
        <f t="shared" si="2"/>
        <v>929.9300000000001</v>
      </c>
      <c r="K9" s="122">
        <f t="shared" si="3"/>
        <v>2021.04</v>
      </c>
      <c r="L9" s="123">
        <f t="shared" si="4"/>
        <v>43.66830297794859</v>
      </c>
      <c r="M9" s="123">
        <f t="shared" si="5"/>
        <v>11.778013365390077</v>
      </c>
      <c r="N9" s="124">
        <f t="shared" si="0"/>
        <v>32.39922800844241</v>
      </c>
    </row>
    <row r="10" spans="2:14" ht="13.5">
      <c r="B10" s="115" t="s">
        <v>206</v>
      </c>
      <c r="C10" s="122">
        <v>2649.83</v>
      </c>
      <c r="D10" s="123">
        <v>1252.01</v>
      </c>
      <c r="E10" s="122">
        <v>54.21</v>
      </c>
      <c r="F10" s="122">
        <f aca="true" t="shared" si="6" ref="F10:F28">C10-D10-E10</f>
        <v>1343.61</v>
      </c>
      <c r="G10" s="122">
        <v>1782.01</v>
      </c>
      <c r="H10" s="122">
        <v>315.06</v>
      </c>
      <c r="I10" s="122">
        <f t="shared" si="1"/>
        <v>1466.95</v>
      </c>
      <c r="J10" s="123">
        <f>D10+H10</f>
        <v>1567.07</v>
      </c>
      <c r="K10" s="122">
        <f t="shared" si="3"/>
        <v>2810.56</v>
      </c>
      <c r="L10" s="123">
        <f t="shared" si="4"/>
        <v>49.29448304230837</v>
      </c>
      <c r="M10" s="123">
        <f t="shared" si="5"/>
        <v>17.680035465569777</v>
      </c>
      <c r="N10" s="124">
        <f t="shared" si="0"/>
        <v>36.58254810642983</v>
      </c>
    </row>
    <row r="11" spans="2:14" ht="13.5">
      <c r="B11" s="115" t="s">
        <v>207</v>
      </c>
      <c r="C11" s="123">
        <v>2651.76</v>
      </c>
      <c r="D11" s="123">
        <v>769.92</v>
      </c>
      <c r="E11" s="123">
        <v>27.8</v>
      </c>
      <c r="F11" s="123">
        <f t="shared" si="6"/>
        <v>1854.0400000000002</v>
      </c>
      <c r="G11" s="123">
        <v>3596.29</v>
      </c>
      <c r="H11" s="122">
        <v>262.43</v>
      </c>
      <c r="I11" s="123">
        <f t="shared" si="1"/>
        <v>3333.86</v>
      </c>
      <c r="J11" s="123">
        <f t="shared" si="2"/>
        <v>1032.35</v>
      </c>
      <c r="K11" s="123">
        <f t="shared" si="3"/>
        <v>5187.900000000001</v>
      </c>
      <c r="L11" s="123">
        <f t="shared" si="4"/>
        <v>30.082662081032968</v>
      </c>
      <c r="M11" s="123">
        <f t="shared" si="5"/>
        <v>7.297242435954832</v>
      </c>
      <c r="N11" s="124">
        <f t="shared" si="0"/>
        <v>16.967693920503194</v>
      </c>
    </row>
    <row r="12" spans="2:14" ht="13.5">
      <c r="B12" s="115" t="s">
        <v>208</v>
      </c>
      <c r="C12" s="122">
        <v>1737.16</v>
      </c>
      <c r="D12" s="123">
        <v>823.97</v>
      </c>
      <c r="E12" s="122">
        <v>37.21</v>
      </c>
      <c r="F12" s="123">
        <f t="shared" si="6"/>
        <v>875.98</v>
      </c>
      <c r="G12" s="122">
        <v>834.54</v>
      </c>
      <c r="H12" s="123">
        <v>90.4</v>
      </c>
      <c r="I12" s="123">
        <f t="shared" si="1"/>
        <v>744.14</v>
      </c>
      <c r="J12" s="123">
        <f t="shared" si="2"/>
        <v>914.37</v>
      </c>
      <c r="K12" s="122">
        <f t="shared" si="3"/>
        <v>1620.12</v>
      </c>
      <c r="L12" s="123">
        <f t="shared" si="4"/>
        <v>49.574017361670776</v>
      </c>
      <c r="M12" s="123">
        <f t="shared" si="5"/>
        <v>10.832314808157788</v>
      </c>
      <c r="N12" s="124">
        <f t="shared" si="0"/>
        <v>37.00198312400358</v>
      </c>
    </row>
    <row r="13" spans="2:14" ht="13.5">
      <c r="B13" s="115" t="s">
        <v>209</v>
      </c>
      <c r="C13" s="123">
        <v>523.96</v>
      </c>
      <c r="D13" s="122">
        <v>118.44</v>
      </c>
      <c r="E13" s="122">
        <v>3.51</v>
      </c>
      <c r="F13" s="123">
        <f t="shared" si="6"/>
        <v>402.01000000000005</v>
      </c>
      <c r="G13" s="122">
        <v>476.88</v>
      </c>
      <c r="H13" s="122">
        <v>26.63</v>
      </c>
      <c r="I13" s="123">
        <f t="shared" si="1"/>
        <v>450.25</v>
      </c>
      <c r="J13" s="122">
        <f t="shared" si="2"/>
        <v>145.07</v>
      </c>
      <c r="K13" s="123">
        <f t="shared" si="3"/>
        <v>852.26</v>
      </c>
      <c r="L13" s="123">
        <f t="shared" si="4"/>
        <v>23.274677456294373</v>
      </c>
      <c r="M13" s="123">
        <f t="shared" si="5"/>
        <v>5.584214058043952</v>
      </c>
      <c r="N13" s="124">
        <f t="shared" si="0"/>
        <v>14.845529755005796</v>
      </c>
    </row>
    <row r="14" spans="2:14" ht="13.5">
      <c r="B14" s="115" t="s">
        <v>210</v>
      </c>
      <c r="C14" s="122">
        <v>1954.91</v>
      </c>
      <c r="D14" s="123">
        <v>829.7</v>
      </c>
      <c r="E14" s="122">
        <v>34.52</v>
      </c>
      <c r="F14" s="123">
        <f t="shared" si="6"/>
        <v>1090.69</v>
      </c>
      <c r="G14" s="123">
        <v>1122</v>
      </c>
      <c r="H14" s="123">
        <v>83.49</v>
      </c>
      <c r="I14" s="123">
        <f t="shared" si="1"/>
        <v>1038.51</v>
      </c>
      <c r="J14" s="123">
        <f t="shared" si="2"/>
        <v>913.19</v>
      </c>
      <c r="K14" s="122">
        <f t="shared" si="3"/>
        <v>2129.2</v>
      </c>
      <c r="L14" s="123">
        <f t="shared" si="4"/>
        <v>44.20766173378826</v>
      </c>
      <c r="M14" s="123">
        <f t="shared" si="5"/>
        <v>7.441176470588235</v>
      </c>
      <c r="N14" s="124">
        <f t="shared" si="0"/>
        <v>30.80070590300009</v>
      </c>
    </row>
    <row r="15" spans="2:14" ht="13.5">
      <c r="B15" s="115" t="s">
        <v>211</v>
      </c>
      <c r="C15" s="123">
        <v>304.94</v>
      </c>
      <c r="D15" s="123">
        <v>127.56</v>
      </c>
      <c r="E15" s="122">
        <v>3.77</v>
      </c>
      <c r="F15" s="122">
        <f t="shared" si="6"/>
        <v>173.60999999999999</v>
      </c>
      <c r="G15" s="122">
        <v>214.37</v>
      </c>
      <c r="H15" s="123">
        <v>16.34</v>
      </c>
      <c r="I15" s="122">
        <f t="shared" si="1"/>
        <v>198.03</v>
      </c>
      <c r="J15" s="123">
        <f t="shared" si="2"/>
        <v>143.9</v>
      </c>
      <c r="K15" s="123">
        <f t="shared" si="3"/>
        <v>371.64</v>
      </c>
      <c r="L15" s="123">
        <f t="shared" si="4"/>
        <v>43.06748868629895</v>
      </c>
      <c r="M15" s="123">
        <f t="shared" si="5"/>
        <v>7.622335214815506</v>
      </c>
      <c r="N15" s="124">
        <f t="shared" si="0"/>
        <v>28.43580905432209</v>
      </c>
    </row>
    <row r="16" spans="2:14" ht="13.5">
      <c r="B16" s="115" t="s">
        <v>212</v>
      </c>
      <c r="C16" s="122">
        <v>1018.34</v>
      </c>
      <c r="D16" s="122">
        <v>378.57</v>
      </c>
      <c r="E16" s="123">
        <v>14.8</v>
      </c>
      <c r="F16" s="123">
        <f t="shared" si="6"/>
        <v>624.97</v>
      </c>
      <c r="G16" s="122">
        <v>563.98</v>
      </c>
      <c r="H16" s="123">
        <v>65.18</v>
      </c>
      <c r="I16" s="123">
        <f t="shared" si="1"/>
        <v>498.8</v>
      </c>
      <c r="J16" s="122">
        <f t="shared" si="2"/>
        <v>443.75</v>
      </c>
      <c r="K16" s="122">
        <f t="shared" si="3"/>
        <v>1123.77</v>
      </c>
      <c r="L16" s="123">
        <f t="shared" si="4"/>
        <v>38.62855234990278</v>
      </c>
      <c r="M16" s="123">
        <f t="shared" si="5"/>
        <v>11.557147416575058</v>
      </c>
      <c r="N16" s="124">
        <f t="shared" si="0"/>
        <v>28.97959957530714</v>
      </c>
    </row>
    <row r="17" spans="2:14" ht="13.5">
      <c r="B17" s="115" t="s">
        <v>213</v>
      </c>
      <c r="C17" s="122">
        <v>6129.97</v>
      </c>
      <c r="D17" s="122">
        <v>2207.14</v>
      </c>
      <c r="E17" s="123">
        <v>93.58</v>
      </c>
      <c r="F17" s="122">
        <f>C17-D17-E17</f>
        <v>3829.2500000000005</v>
      </c>
      <c r="G17" s="122">
        <v>4775.82</v>
      </c>
      <c r="H17" s="123">
        <v>367</v>
      </c>
      <c r="I17" s="123">
        <f t="shared" si="1"/>
        <v>4408.82</v>
      </c>
      <c r="J17" s="123">
        <f t="shared" si="2"/>
        <v>2574.14</v>
      </c>
      <c r="K17" s="122">
        <f t="shared" si="3"/>
        <v>8238.07</v>
      </c>
      <c r="L17" s="123">
        <f t="shared" si="4"/>
        <v>37.53232071282567</v>
      </c>
      <c r="M17" s="123">
        <f t="shared" si="5"/>
        <v>7.684544224866097</v>
      </c>
      <c r="N17" s="124">
        <f t="shared" si="0"/>
        <v>24.461501642705386</v>
      </c>
    </row>
    <row r="18" spans="2:14" ht="13.5">
      <c r="B18" s="115" t="s">
        <v>214</v>
      </c>
      <c r="C18" s="123">
        <v>6228.47</v>
      </c>
      <c r="D18" s="123">
        <v>2778.71</v>
      </c>
      <c r="E18" s="122">
        <v>124.17</v>
      </c>
      <c r="F18" s="122">
        <f t="shared" si="6"/>
        <v>3325.59</v>
      </c>
      <c r="G18" s="123">
        <v>3663.28</v>
      </c>
      <c r="H18" s="123">
        <v>643.74</v>
      </c>
      <c r="I18" s="123">
        <f t="shared" si="1"/>
        <v>3019.54</v>
      </c>
      <c r="J18" s="122">
        <f t="shared" si="2"/>
        <v>3422.45</v>
      </c>
      <c r="K18" s="122">
        <f t="shared" si="3"/>
        <v>6345.13</v>
      </c>
      <c r="L18" s="123">
        <f t="shared" si="4"/>
        <v>46.606630520818115</v>
      </c>
      <c r="M18" s="123">
        <f t="shared" si="5"/>
        <v>17.57277630975519</v>
      </c>
      <c r="N18" s="124">
        <f t="shared" si="0"/>
        <v>35.854323046983595</v>
      </c>
    </row>
    <row r="19" spans="2:14" ht="13.5">
      <c r="B19" s="115" t="s">
        <v>215</v>
      </c>
      <c r="C19" s="122">
        <v>2796.46</v>
      </c>
      <c r="D19" s="122">
        <v>1235.76</v>
      </c>
      <c r="E19" s="122">
        <v>52.11</v>
      </c>
      <c r="F19" s="122">
        <f t="shared" si="6"/>
        <v>1508.5900000000001</v>
      </c>
      <c r="G19" s="122">
        <v>1744.65</v>
      </c>
      <c r="H19" s="122">
        <v>223.91</v>
      </c>
      <c r="I19" s="123">
        <f t="shared" si="1"/>
        <v>1520.74</v>
      </c>
      <c r="J19" s="122">
        <f t="shared" si="2"/>
        <v>1459.67</v>
      </c>
      <c r="K19" s="122">
        <f t="shared" si="3"/>
        <v>3029.33</v>
      </c>
      <c r="L19" s="123">
        <f t="shared" si="4"/>
        <v>46.053582028707716</v>
      </c>
      <c r="M19" s="123">
        <f t="shared" si="5"/>
        <v>12.834092797982404</v>
      </c>
      <c r="N19" s="124">
        <f t="shared" si="0"/>
        <v>33.290979518223516</v>
      </c>
    </row>
    <row r="20" spans="2:14" ht="13.5">
      <c r="B20" s="115" t="s">
        <v>216</v>
      </c>
      <c r="C20" s="122">
        <v>293.14</v>
      </c>
      <c r="D20" s="122">
        <v>54.03</v>
      </c>
      <c r="E20" s="122">
        <v>1.46</v>
      </c>
      <c r="F20" s="122">
        <f t="shared" si="6"/>
        <v>237.64999999999998</v>
      </c>
      <c r="G20" s="122">
        <v>151.49</v>
      </c>
      <c r="H20" s="122">
        <v>7.63</v>
      </c>
      <c r="I20" s="122">
        <f t="shared" si="1"/>
        <v>143.86</v>
      </c>
      <c r="J20" s="123">
        <f>D20+H20</f>
        <v>61.660000000000004</v>
      </c>
      <c r="K20" s="122">
        <f t="shared" si="3"/>
        <v>381.51</v>
      </c>
      <c r="L20" s="123">
        <f t="shared" si="4"/>
        <v>18.92952173023129</v>
      </c>
      <c r="M20" s="123">
        <f t="shared" si="5"/>
        <v>5.036636081589544</v>
      </c>
      <c r="N20" s="124">
        <f t="shared" si="0"/>
        <v>14.196073139464275</v>
      </c>
    </row>
    <row r="21" spans="2:14" ht="13.5">
      <c r="B21" s="115" t="s">
        <v>217</v>
      </c>
      <c r="C21" s="123">
        <v>1237.06</v>
      </c>
      <c r="D21" s="122">
        <v>666.31</v>
      </c>
      <c r="E21" s="123">
        <v>31.35</v>
      </c>
      <c r="F21" s="123">
        <f t="shared" si="6"/>
        <v>539.4</v>
      </c>
      <c r="G21" s="123">
        <v>385.49</v>
      </c>
      <c r="H21" s="123">
        <v>113.99</v>
      </c>
      <c r="I21" s="123">
        <f t="shared" si="1"/>
        <v>271.5</v>
      </c>
      <c r="J21" s="123">
        <f t="shared" si="2"/>
        <v>780.3</v>
      </c>
      <c r="K21" s="123">
        <f t="shared" si="3"/>
        <v>810.9</v>
      </c>
      <c r="L21" s="123">
        <f t="shared" si="4"/>
        <v>56.396617787334485</v>
      </c>
      <c r="M21" s="123">
        <f t="shared" si="5"/>
        <v>29.570157461931565</v>
      </c>
      <c r="N21" s="124">
        <f t="shared" si="0"/>
        <v>50.02311176851252</v>
      </c>
    </row>
    <row r="22" spans="2:14" ht="13.5">
      <c r="B22" s="115" t="s">
        <v>218</v>
      </c>
      <c r="C22" s="122">
        <v>1162.24</v>
      </c>
      <c r="D22" s="122">
        <v>500.45</v>
      </c>
      <c r="E22" s="123">
        <v>22.3</v>
      </c>
      <c r="F22" s="123">
        <f t="shared" si="6"/>
        <v>639.49</v>
      </c>
      <c r="G22" s="122">
        <v>713.51</v>
      </c>
      <c r="H22" s="123">
        <v>127.01</v>
      </c>
      <c r="I22" s="123">
        <f t="shared" si="1"/>
        <v>586.5</v>
      </c>
      <c r="J22" s="122">
        <f t="shared" si="2"/>
        <v>627.46</v>
      </c>
      <c r="K22" s="122">
        <f t="shared" si="3"/>
        <v>1225.99</v>
      </c>
      <c r="L22" s="123">
        <f t="shared" si="4"/>
        <v>44.97780148678414</v>
      </c>
      <c r="M22" s="123">
        <f t="shared" si="5"/>
        <v>17.800731594511642</v>
      </c>
      <c r="N22" s="124">
        <f t="shared" si="0"/>
        <v>34.64001066240171</v>
      </c>
    </row>
    <row r="23" spans="2:14" ht="13.5">
      <c r="B23" s="115" t="s">
        <v>219</v>
      </c>
      <c r="C23" s="122">
        <v>2489.69</v>
      </c>
      <c r="D23" s="122">
        <v>1185.87</v>
      </c>
      <c r="E23" s="123">
        <v>51.59</v>
      </c>
      <c r="F23" s="122">
        <f t="shared" si="6"/>
        <v>1252.2300000000002</v>
      </c>
      <c r="G23" s="122">
        <v>1323.03</v>
      </c>
      <c r="H23" s="122">
        <v>161.16</v>
      </c>
      <c r="I23" s="122">
        <f t="shared" si="1"/>
        <v>1161.87</v>
      </c>
      <c r="J23" s="123">
        <f t="shared" si="2"/>
        <v>1347.03</v>
      </c>
      <c r="K23" s="123">
        <f t="shared" si="3"/>
        <v>2414.1000000000004</v>
      </c>
      <c r="L23" s="123">
        <f t="shared" si="4"/>
        <v>49.70337672561643</v>
      </c>
      <c r="M23" s="123">
        <f t="shared" si="5"/>
        <v>12.181129679599103</v>
      </c>
      <c r="N23" s="124">
        <f t="shared" si="0"/>
        <v>36.6829979647076</v>
      </c>
    </row>
    <row r="24" spans="2:14" ht="13.5">
      <c r="B24" s="115" t="s">
        <v>220</v>
      </c>
      <c r="C24" s="123">
        <v>1616.85</v>
      </c>
      <c r="D24" s="122">
        <v>906.21</v>
      </c>
      <c r="E24" s="122">
        <v>41.76</v>
      </c>
      <c r="F24" s="122">
        <f t="shared" si="6"/>
        <v>668.8799999999999</v>
      </c>
      <c r="G24" s="122">
        <v>561.54</v>
      </c>
      <c r="H24" s="123">
        <v>129.5</v>
      </c>
      <c r="I24" s="123">
        <f t="shared" si="1"/>
        <v>432.03999999999996</v>
      </c>
      <c r="J24" s="122">
        <f>D24+H24</f>
        <v>1035.71</v>
      </c>
      <c r="K24" s="122">
        <f t="shared" si="3"/>
        <v>1100.9199999999998</v>
      </c>
      <c r="L24" s="123">
        <f t="shared" si="4"/>
        <v>58.63067074867799</v>
      </c>
      <c r="M24" s="123">
        <f t="shared" si="5"/>
        <v>23.06158065320369</v>
      </c>
      <c r="N24" s="124">
        <f t="shared" si="0"/>
        <v>49.46175845463852</v>
      </c>
    </row>
    <row r="25" spans="2:14" ht="13.5">
      <c r="B25" s="115" t="s">
        <v>221</v>
      </c>
      <c r="C25" s="122">
        <v>35398.55</v>
      </c>
      <c r="D25" s="123">
        <f>12785+991.21</f>
        <v>13776.21</v>
      </c>
      <c r="E25" s="122">
        <v>527.99</v>
      </c>
      <c r="F25" s="123">
        <f t="shared" si="6"/>
        <v>21094.350000000002</v>
      </c>
      <c r="G25" s="123">
        <v>16335.23</v>
      </c>
      <c r="H25" s="122">
        <v>2835.39</v>
      </c>
      <c r="I25" s="123">
        <f t="shared" si="1"/>
        <v>13499.84</v>
      </c>
      <c r="J25" s="123">
        <f t="shared" si="2"/>
        <v>16611.6</v>
      </c>
      <c r="K25" s="123">
        <f t="shared" si="3"/>
        <v>34594.19</v>
      </c>
      <c r="L25" s="123">
        <f t="shared" si="4"/>
        <v>40.40899980366427</v>
      </c>
      <c r="M25" s="123">
        <f t="shared" si="5"/>
        <v>17.357515015093146</v>
      </c>
      <c r="N25" s="124">
        <f t="shared" si="0"/>
        <v>33.13036472494374</v>
      </c>
    </row>
    <row r="26" spans="2:14" ht="13.5">
      <c r="B26" s="115" t="s">
        <v>222</v>
      </c>
      <c r="C26" s="123">
        <v>6875.41</v>
      </c>
      <c r="D26" s="122">
        <v>3101.01</v>
      </c>
      <c r="E26" s="123">
        <v>140.53</v>
      </c>
      <c r="F26" s="123">
        <f t="shared" si="6"/>
        <v>3633.8699999999994</v>
      </c>
      <c r="G26" s="122">
        <v>4735.22</v>
      </c>
      <c r="H26" s="122">
        <v>659.74</v>
      </c>
      <c r="I26" s="123">
        <f t="shared" si="1"/>
        <v>4075.4800000000005</v>
      </c>
      <c r="J26" s="122">
        <f t="shared" si="2"/>
        <v>3760.75</v>
      </c>
      <c r="K26" s="123">
        <f t="shared" si="3"/>
        <v>7709.35</v>
      </c>
      <c r="L26" s="123">
        <f t="shared" si="4"/>
        <v>47.14686105992225</v>
      </c>
      <c r="M26" s="123">
        <f t="shared" si="5"/>
        <v>13.932615591250247</v>
      </c>
      <c r="N26" s="124">
        <f t="shared" si="0"/>
        <v>33.60093293817821</v>
      </c>
    </row>
    <row r="27" spans="2:14" ht="13.5">
      <c r="B27" s="115" t="s">
        <v>223</v>
      </c>
      <c r="C27" s="122">
        <v>595.03</v>
      </c>
      <c r="D27" s="122">
        <v>191.41</v>
      </c>
      <c r="E27" s="122">
        <v>8.51</v>
      </c>
      <c r="F27" s="123">
        <f t="shared" si="6"/>
        <v>395.11</v>
      </c>
      <c r="G27" s="123">
        <v>513</v>
      </c>
      <c r="H27" s="122">
        <v>64.19</v>
      </c>
      <c r="I27" s="123">
        <f>G27-H27</f>
        <v>448.81</v>
      </c>
      <c r="J27" s="123">
        <f t="shared" si="2"/>
        <v>255.6</v>
      </c>
      <c r="K27" s="122">
        <f t="shared" si="3"/>
        <v>843.9200000000001</v>
      </c>
      <c r="L27" s="123">
        <f t="shared" si="4"/>
        <v>33.59830596776633</v>
      </c>
      <c r="M27" s="123">
        <f t="shared" si="5"/>
        <v>12.512670565302145</v>
      </c>
      <c r="N27" s="124">
        <f t="shared" si="0"/>
        <v>23.835997220291873</v>
      </c>
    </row>
    <row r="28" spans="2:14" ht="13.5">
      <c r="B28" s="115" t="s">
        <v>224</v>
      </c>
      <c r="C28" s="123">
        <v>2925.3</v>
      </c>
      <c r="D28" s="122">
        <v>1087.35</v>
      </c>
      <c r="E28" s="122">
        <v>49.58</v>
      </c>
      <c r="F28" s="123">
        <f t="shared" si="6"/>
        <v>1788.3700000000003</v>
      </c>
      <c r="G28" s="122">
        <v>2107.48</v>
      </c>
      <c r="H28" s="122">
        <v>216.81</v>
      </c>
      <c r="I28" s="123">
        <f t="shared" si="1"/>
        <v>1890.67</v>
      </c>
      <c r="J28" s="122">
        <f t="shared" si="2"/>
        <v>1304.1599999999999</v>
      </c>
      <c r="K28" s="122">
        <f t="shared" si="3"/>
        <v>3679.0400000000004</v>
      </c>
      <c r="L28" s="123">
        <f t="shared" si="4"/>
        <v>38.86541551293884</v>
      </c>
      <c r="M28" s="123">
        <f t="shared" si="5"/>
        <v>10.287642112855163</v>
      </c>
      <c r="N28" s="124">
        <f t="shared" si="0"/>
        <v>26.898453737298265</v>
      </c>
    </row>
    <row r="29" spans="2:14" ht="14.25" thickBot="1">
      <c r="B29" s="117" t="s">
        <v>225</v>
      </c>
      <c r="C29" s="125">
        <f aca="true" t="shared" si="7" ref="C29:K29">SUM(C7:C28)</f>
        <v>84710.76000000001</v>
      </c>
      <c r="D29" s="125">
        <f t="shared" si="7"/>
        <v>34589.89</v>
      </c>
      <c r="E29" s="126">
        <f t="shared" si="7"/>
        <v>1439.85</v>
      </c>
      <c r="F29" s="125">
        <f t="shared" si="7"/>
        <v>48681.02000000002</v>
      </c>
      <c r="G29" s="125">
        <f t="shared" si="7"/>
        <v>49223.16000000001</v>
      </c>
      <c r="H29" s="125">
        <f t="shared" si="7"/>
        <v>6776.66</v>
      </c>
      <c r="I29" s="126">
        <f t="shared" si="7"/>
        <v>42446.5</v>
      </c>
      <c r="J29" s="126">
        <f>SUM(J7:J28)</f>
        <v>41366.54999999999</v>
      </c>
      <c r="K29" s="126">
        <f t="shared" si="7"/>
        <v>91127.51999999999</v>
      </c>
      <c r="L29" s="126">
        <f t="shared" si="4"/>
        <v>42.532660549852224</v>
      </c>
      <c r="M29" s="126">
        <f t="shared" si="5"/>
        <v>13.767218520712603</v>
      </c>
      <c r="N29" s="127">
        <f t="shared" si="0"/>
        <v>31.96083561206899</v>
      </c>
    </row>
    <row r="30" spans="2:14" ht="13.5" thickTop="1">
      <c r="B30" s="128"/>
      <c r="C30" s="128"/>
      <c r="D30" s="128"/>
      <c r="E30" s="128"/>
      <c r="F30" s="128"/>
      <c r="G30" s="128"/>
      <c r="H30" s="128"/>
      <c r="I30" s="129"/>
      <c r="J30" s="130"/>
      <c r="K30" s="128"/>
      <c r="L30" s="128"/>
      <c r="M30" s="128"/>
      <c r="N30" s="128"/>
    </row>
    <row r="31" spans="2:14" ht="12.75">
      <c r="B31" s="128"/>
      <c r="C31" s="128">
        <f>C29+G29</f>
        <v>133933.92</v>
      </c>
      <c r="D31" s="131">
        <f>C31-C32</f>
        <v>132494.06999999998</v>
      </c>
      <c r="E31" s="128"/>
      <c r="F31" s="128"/>
      <c r="G31" s="128"/>
      <c r="H31" s="128"/>
      <c r="I31" s="128"/>
      <c r="J31" s="131">
        <f>J29+K29</f>
        <v>132494.06999999998</v>
      </c>
      <c r="K31" s="128"/>
      <c r="L31" s="128"/>
      <c r="M31" s="128"/>
      <c r="N31" s="128"/>
    </row>
    <row r="32" spans="2:14" ht="12.75">
      <c r="B32" s="128"/>
      <c r="C32" s="131">
        <f>C31-J31</f>
        <v>1439.850000000035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2:14" ht="14.25" thickBot="1">
      <c r="B33" s="132" t="s">
        <v>110</v>
      </c>
      <c r="C33" s="118"/>
      <c r="D33" s="11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2:14" ht="54.75" thickTop="1">
      <c r="B34" s="119" t="s">
        <v>189</v>
      </c>
      <c r="C34" s="120" t="s">
        <v>188</v>
      </c>
      <c r="D34" s="120" t="s">
        <v>186</v>
      </c>
      <c r="E34" s="120" t="s">
        <v>190</v>
      </c>
      <c r="F34" s="120" t="s">
        <v>191</v>
      </c>
      <c r="G34" s="120" t="s">
        <v>192</v>
      </c>
      <c r="H34" s="120" t="s">
        <v>193</v>
      </c>
      <c r="I34" s="120" t="s">
        <v>194</v>
      </c>
      <c r="J34" s="120" t="s">
        <v>195</v>
      </c>
      <c r="K34" s="120" t="s">
        <v>196</v>
      </c>
      <c r="L34" s="120" t="s">
        <v>187</v>
      </c>
      <c r="M34" s="120" t="s">
        <v>197</v>
      </c>
      <c r="N34" s="121" t="s">
        <v>198</v>
      </c>
    </row>
    <row r="35" spans="2:15" ht="13.5">
      <c r="B35" s="115" t="s">
        <v>203</v>
      </c>
      <c r="C35" s="122">
        <v>45.55</v>
      </c>
      <c r="D35" s="123">
        <v>9.22</v>
      </c>
      <c r="E35" s="122">
        <v>0.42</v>
      </c>
      <c r="F35" s="122">
        <f aca="true" t="shared" si="8" ref="F35:F56">C35-D35-E35</f>
        <v>35.91</v>
      </c>
      <c r="G35" s="122">
        <v>52.61</v>
      </c>
      <c r="H35" s="122"/>
      <c r="I35" s="123">
        <f aca="true" t="shared" si="9" ref="I35:I56">G35-H35</f>
        <v>52.61</v>
      </c>
      <c r="J35" s="123">
        <f>D35+H35</f>
        <v>9.22</v>
      </c>
      <c r="K35" s="122">
        <f aca="true" t="shared" si="10" ref="K35:K56">F35+I35</f>
        <v>88.52</v>
      </c>
      <c r="L35" s="123">
        <f aca="true" t="shared" si="11" ref="L35:L58">SUM(D35+E35)/C35%</f>
        <v>21.163556531284307</v>
      </c>
      <c r="M35" s="123">
        <f aca="true" t="shared" si="12" ref="M35:M58">SUM(H35/G35%)</f>
        <v>0</v>
      </c>
      <c r="N35" s="124">
        <f aca="true" t="shared" si="13" ref="N35:N58">(D35+E35+H35)/(C35+G35)%</f>
        <v>9.820700896495518</v>
      </c>
      <c r="O35" s="68"/>
    </row>
    <row r="36" spans="2:15" ht="13.5">
      <c r="B36" s="115" t="s">
        <v>204</v>
      </c>
      <c r="C36" s="122">
        <v>136.47</v>
      </c>
      <c r="D36" s="122">
        <v>18.27</v>
      </c>
      <c r="E36" s="122">
        <v>0.66</v>
      </c>
      <c r="F36" s="122">
        <f t="shared" si="8"/>
        <v>117.54</v>
      </c>
      <c r="G36" s="122">
        <v>98.43</v>
      </c>
      <c r="H36" s="122">
        <v>7.99</v>
      </c>
      <c r="I36" s="122">
        <f t="shared" si="9"/>
        <v>90.44000000000001</v>
      </c>
      <c r="J36" s="122">
        <f aca="true" t="shared" si="14" ref="J36:J57">D36+H36</f>
        <v>26.259999999999998</v>
      </c>
      <c r="K36" s="122">
        <f t="shared" si="10"/>
        <v>207.98000000000002</v>
      </c>
      <c r="L36" s="123">
        <f t="shared" si="11"/>
        <v>13.871180479226203</v>
      </c>
      <c r="M36" s="123">
        <f t="shared" si="12"/>
        <v>8.117443868739205</v>
      </c>
      <c r="N36" s="124">
        <f t="shared" si="13"/>
        <v>11.46019582801192</v>
      </c>
      <c r="O36" s="68"/>
    </row>
    <row r="37" spans="2:15" ht="13.5">
      <c r="B37" s="115" t="s">
        <v>205</v>
      </c>
      <c r="C37" s="122">
        <v>124.79</v>
      </c>
      <c r="D37" s="122">
        <v>21.27</v>
      </c>
      <c r="E37" s="122">
        <v>0.43</v>
      </c>
      <c r="F37" s="123">
        <f t="shared" si="8"/>
        <v>103.09</v>
      </c>
      <c r="G37" s="122">
        <v>17.55</v>
      </c>
      <c r="H37" s="122"/>
      <c r="I37" s="122">
        <f t="shared" si="9"/>
        <v>17.55</v>
      </c>
      <c r="J37" s="122">
        <f t="shared" si="14"/>
        <v>21.27</v>
      </c>
      <c r="K37" s="122">
        <f t="shared" si="10"/>
        <v>120.64</v>
      </c>
      <c r="L37" s="123">
        <f t="shared" si="11"/>
        <v>17.389213879317253</v>
      </c>
      <c r="M37" s="123">
        <f t="shared" si="12"/>
        <v>0</v>
      </c>
      <c r="N37" s="124">
        <f t="shared" si="13"/>
        <v>15.245187579036111</v>
      </c>
      <c r="O37" s="68"/>
    </row>
    <row r="38" spans="2:15" ht="13.5">
      <c r="B38" s="115" t="s">
        <v>206</v>
      </c>
      <c r="C38" s="122">
        <v>177.21</v>
      </c>
      <c r="D38" s="123">
        <v>68.17</v>
      </c>
      <c r="E38" s="122">
        <v>1.53</v>
      </c>
      <c r="F38" s="123">
        <f t="shared" si="8"/>
        <v>107.51</v>
      </c>
      <c r="G38" s="122">
        <v>46.85</v>
      </c>
      <c r="H38" s="122">
        <v>43.87</v>
      </c>
      <c r="I38" s="123">
        <f t="shared" si="9"/>
        <v>2.980000000000004</v>
      </c>
      <c r="J38" s="122">
        <f t="shared" si="14"/>
        <v>112.03999999999999</v>
      </c>
      <c r="K38" s="123">
        <f t="shared" si="10"/>
        <v>110.49000000000001</v>
      </c>
      <c r="L38" s="123">
        <f t="shared" si="11"/>
        <v>39.331866147508606</v>
      </c>
      <c r="M38" s="123">
        <f t="shared" si="12"/>
        <v>93.63927427961579</v>
      </c>
      <c r="N38" s="124">
        <f t="shared" si="13"/>
        <v>50.68731589752744</v>
      </c>
      <c r="O38" s="68"/>
    </row>
    <row r="39" spans="2:15" ht="13.5">
      <c r="B39" s="115" t="s">
        <v>207</v>
      </c>
      <c r="C39" s="123">
        <v>254.84</v>
      </c>
      <c r="D39" s="123">
        <v>103.13</v>
      </c>
      <c r="E39" s="122">
        <v>4.09</v>
      </c>
      <c r="F39" s="122">
        <f t="shared" si="8"/>
        <v>147.62</v>
      </c>
      <c r="G39" s="123">
        <v>197.92</v>
      </c>
      <c r="H39" s="123">
        <v>53.53</v>
      </c>
      <c r="I39" s="123">
        <f t="shared" si="9"/>
        <v>144.39</v>
      </c>
      <c r="J39" s="122">
        <f t="shared" si="14"/>
        <v>156.66</v>
      </c>
      <c r="K39" s="122">
        <f t="shared" si="10"/>
        <v>292.01</v>
      </c>
      <c r="L39" s="123">
        <f t="shared" si="11"/>
        <v>42.07345785590959</v>
      </c>
      <c r="M39" s="123">
        <f t="shared" si="12"/>
        <v>27.0462813257882</v>
      </c>
      <c r="N39" s="124">
        <f t="shared" si="13"/>
        <v>35.50446152486969</v>
      </c>
      <c r="O39" s="68"/>
    </row>
    <row r="40" spans="2:15" ht="13.5">
      <c r="B40" s="115" t="s">
        <v>208</v>
      </c>
      <c r="C40" s="123">
        <v>346.78</v>
      </c>
      <c r="D40" s="122">
        <v>36.38</v>
      </c>
      <c r="E40" s="123">
        <v>1.47</v>
      </c>
      <c r="F40" s="123">
        <f t="shared" si="8"/>
        <v>308.92999999999995</v>
      </c>
      <c r="G40" s="122">
        <v>69.07</v>
      </c>
      <c r="H40" s="122"/>
      <c r="I40" s="123">
        <f t="shared" si="9"/>
        <v>69.07</v>
      </c>
      <c r="J40" s="122">
        <f t="shared" si="14"/>
        <v>36.38</v>
      </c>
      <c r="K40" s="123">
        <f t="shared" si="10"/>
        <v>377.99999999999994</v>
      </c>
      <c r="L40" s="123">
        <f t="shared" si="11"/>
        <v>10.914700963146666</v>
      </c>
      <c r="M40" s="123">
        <f t="shared" si="12"/>
        <v>0</v>
      </c>
      <c r="N40" s="124">
        <f t="shared" si="13"/>
        <v>9.10183960562703</v>
      </c>
      <c r="O40" s="68"/>
    </row>
    <row r="41" spans="2:15" ht="13.5">
      <c r="B41" s="115" t="s">
        <v>209</v>
      </c>
      <c r="C41" s="122">
        <v>26.09</v>
      </c>
      <c r="D41" s="122">
        <v>24.79</v>
      </c>
      <c r="E41" s="123">
        <v>1.3</v>
      </c>
      <c r="F41" s="122">
        <f t="shared" si="8"/>
        <v>0</v>
      </c>
      <c r="G41" s="122">
        <v>9.54</v>
      </c>
      <c r="H41" s="122"/>
      <c r="I41" s="122">
        <f t="shared" si="9"/>
        <v>9.54</v>
      </c>
      <c r="J41" s="122">
        <f t="shared" si="14"/>
        <v>24.79</v>
      </c>
      <c r="K41" s="122">
        <f t="shared" si="10"/>
        <v>9.54</v>
      </c>
      <c r="L41" s="123">
        <f t="shared" si="11"/>
        <v>99.99999999999999</v>
      </c>
      <c r="M41" s="123">
        <f t="shared" si="12"/>
        <v>0</v>
      </c>
      <c r="N41" s="124">
        <f t="shared" si="13"/>
        <v>73.22481055290487</v>
      </c>
      <c r="O41" s="68"/>
    </row>
    <row r="42" spans="2:15" ht="13.5">
      <c r="B42" s="115" t="s">
        <v>210</v>
      </c>
      <c r="C42" s="123">
        <v>126.75</v>
      </c>
      <c r="D42" s="122">
        <v>31.88</v>
      </c>
      <c r="E42" s="122">
        <v>1.24</v>
      </c>
      <c r="F42" s="122">
        <f t="shared" si="8"/>
        <v>93.63000000000001</v>
      </c>
      <c r="G42" s="123">
        <v>18.3</v>
      </c>
      <c r="H42" s="123"/>
      <c r="I42" s="123">
        <f t="shared" si="9"/>
        <v>18.3</v>
      </c>
      <c r="J42" s="122">
        <f t="shared" si="14"/>
        <v>31.88</v>
      </c>
      <c r="K42" s="123">
        <f t="shared" si="10"/>
        <v>111.93</v>
      </c>
      <c r="L42" s="123">
        <f t="shared" si="11"/>
        <v>26.130177514792894</v>
      </c>
      <c r="M42" s="123">
        <f t="shared" si="12"/>
        <v>0</v>
      </c>
      <c r="N42" s="124">
        <f t="shared" si="13"/>
        <v>22.833505687693894</v>
      </c>
      <c r="O42" s="68"/>
    </row>
    <row r="43" spans="2:15" ht="13.5">
      <c r="B43" s="115" t="s">
        <v>211</v>
      </c>
      <c r="C43" s="123">
        <v>37.37</v>
      </c>
      <c r="D43" s="123">
        <v>35.5</v>
      </c>
      <c r="E43" s="122">
        <v>1.87</v>
      </c>
      <c r="F43" s="123">
        <f t="shared" si="8"/>
        <v>-2.6645352591003757E-15</v>
      </c>
      <c r="G43" s="122">
        <v>4.82</v>
      </c>
      <c r="H43" s="122">
        <v>4.82</v>
      </c>
      <c r="I43" s="123">
        <f t="shared" si="9"/>
        <v>0</v>
      </c>
      <c r="J43" s="122">
        <f t="shared" si="14"/>
        <v>40.32</v>
      </c>
      <c r="K43" s="123">
        <f t="shared" si="10"/>
        <v>-2.6645352591003757E-15</v>
      </c>
      <c r="L43" s="123">
        <f t="shared" si="11"/>
        <v>100</v>
      </c>
      <c r="M43" s="123">
        <f t="shared" si="12"/>
        <v>100</v>
      </c>
      <c r="N43" s="124">
        <f t="shared" si="13"/>
        <v>100</v>
      </c>
      <c r="O43" s="68"/>
    </row>
    <row r="44" spans="2:15" ht="13.5">
      <c r="B44" s="115" t="s">
        <v>212</v>
      </c>
      <c r="C44" s="123">
        <v>108.56</v>
      </c>
      <c r="D44" s="122">
        <v>41.62</v>
      </c>
      <c r="E44" s="122">
        <v>2.23</v>
      </c>
      <c r="F44" s="123">
        <f t="shared" si="8"/>
        <v>64.71</v>
      </c>
      <c r="G44" s="122">
        <v>71.27</v>
      </c>
      <c r="H44" s="123">
        <v>43.07</v>
      </c>
      <c r="I44" s="123">
        <f t="shared" si="9"/>
        <v>28.199999999999996</v>
      </c>
      <c r="J44" s="123">
        <f t="shared" si="14"/>
        <v>84.69</v>
      </c>
      <c r="K44" s="122">
        <f t="shared" si="10"/>
        <v>92.91</v>
      </c>
      <c r="L44" s="123">
        <f t="shared" si="11"/>
        <v>40.39240972733971</v>
      </c>
      <c r="M44" s="123">
        <f t="shared" si="12"/>
        <v>60.432159393854356</v>
      </c>
      <c r="N44" s="124">
        <f t="shared" si="13"/>
        <v>48.334538174943</v>
      </c>
      <c r="O44" s="68"/>
    </row>
    <row r="45" spans="2:15" ht="13.5">
      <c r="B45" s="115" t="s">
        <v>213</v>
      </c>
      <c r="C45" s="122">
        <v>937.23</v>
      </c>
      <c r="D45" s="122">
        <v>568.65</v>
      </c>
      <c r="E45" s="122">
        <v>25.35</v>
      </c>
      <c r="F45" s="122">
        <f t="shared" si="8"/>
        <v>343.23</v>
      </c>
      <c r="G45" s="122">
        <v>173.71</v>
      </c>
      <c r="H45" s="122">
        <v>2.82</v>
      </c>
      <c r="I45" s="122">
        <f t="shared" si="9"/>
        <v>170.89000000000001</v>
      </c>
      <c r="J45" s="122">
        <f t="shared" si="14"/>
        <v>571.47</v>
      </c>
      <c r="K45" s="123">
        <f t="shared" si="10"/>
        <v>514.12</v>
      </c>
      <c r="L45" s="123">
        <f>SUM(D45+E45)/C45%</f>
        <v>63.378252936845804</v>
      </c>
      <c r="M45" s="123">
        <f t="shared" si="12"/>
        <v>1.6233953140291288</v>
      </c>
      <c r="N45" s="124">
        <f>(D45+E45+H45)/(C45+G45)%</f>
        <v>53.722073199272685</v>
      </c>
      <c r="O45" s="68"/>
    </row>
    <row r="46" spans="2:15" ht="13.5">
      <c r="B46" s="115" t="s">
        <v>214</v>
      </c>
      <c r="C46" s="122">
        <v>3071.52</v>
      </c>
      <c r="D46" s="123">
        <v>211.64</v>
      </c>
      <c r="E46" s="123">
        <v>3.6</v>
      </c>
      <c r="F46" s="122">
        <f t="shared" si="8"/>
        <v>2856.28</v>
      </c>
      <c r="G46" s="122">
        <v>267.79</v>
      </c>
      <c r="H46" s="122">
        <v>25.52</v>
      </c>
      <c r="I46" s="123">
        <f t="shared" si="9"/>
        <v>242.27</v>
      </c>
      <c r="J46" s="122">
        <f t="shared" si="14"/>
        <v>237.16</v>
      </c>
      <c r="K46" s="122">
        <f t="shared" si="10"/>
        <v>3098.55</v>
      </c>
      <c r="L46" s="123">
        <f t="shared" si="11"/>
        <v>7.007605355003386</v>
      </c>
      <c r="M46" s="123">
        <f t="shared" si="12"/>
        <v>9.529855483774599</v>
      </c>
      <c r="N46" s="124">
        <f t="shared" si="13"/>
        <v>7.209872698252035</v>
      </c>
      <c r="O46" s="68"/>
    </row>
    <row r="47" spans="2:15" ht="13.5">
      <c r="B47" s="115" t="s">
        <v>215</v>
      </c>
      <c r="C47" s="122">
        <v>241.37</v>
      </c>
      <c r="D47" s="122">
        <v>191.12</v>
      </c>
      <c r="E47" s="123">
        <v>1.3</v>
      </c>
      <c r="F47" s="123">
        <f t="shared" si="8"/>
        <v>48.95</v>
      </c>
      <c r="G47" s="122">
        <v>54.16</v>
      </c>
      <c r="H47" s="122">
        <v>11.05</v>
      </c>
      <c r="I47" s="122">
        <f t="shared" si="9"/>
        <v>43.11</v>
      </c>
      <c r="J47" s="122">
        <f t="shared" si="14"/>
        <v>202.17000000000002</v>
      </c>
      <c r="K47" s="123">
        <f t="shared" si="10"/>
        <v>92.06</v>
      </c>
      <c r="L47" s="123">
        <f t="shared" si="11"/>
        <v>79.7199320545221</v>
      </c>
      <c r="M47" s="123">
        <f t="shared" si="12"/>
        <v>20.40251107828656</v>
      </c>
      <c r="N47" s="124">
        <f t="shared" si="13"/>
        <v>68.84918620783002</v>
      </c>
      <c r="O47" s="68"/>
    </row>
    <row r="48" spans="2:15" ht="13.5">
      <c r="B48" s="115" t="s">
        <v>216</v>
      </c>
      <c r="C48" s="122">
        <v>131.33</v>
      </c>
      <c r="D48" s="123">
        <v>3.92</v>
      </c>
      <c r="E48" s="123">
        <v>0.2</v>
      </c>
      <c r="F48" s="122">
        <f t="shared" si="8"/>
        <v>127.21000000000001</v>
      </c>
      <c r="G48" s="122">
        <v>57.94</v>
      </c>
      <c r="H48" s="122"/>
      <c r="I48" s="122">
        <f t="shared" si="9"/>
        <v>57.94</v>
      </c>
      <c r="J48" s="122">
        <f t="shared" si="14"/>
        <v>3.92</v>
      </c>
      <c r="K48" s="122">
        <f t="shared" si="10"/>
        <v>185.15</v>
      </c>
      <c r="L48" s="123">
        <f t="shared" si="11"/>
        <v>3.13713546029087</v>
      </c>
      <c r="M48" s="123">
        <f t="shared" si="12"/>
        <v>0</v>
      </c>
      <c r="N48" s="124">
        <f t="shared" si="13"/>
        <v>2.176784487768796</v>
      </c>
      <c r="O48" s="68"/>
    </row>
    <row r="49" spans="2:15" ht="13.5">
      <c r="B49" s="115" t="s">
        <v>217</v>
      </c>
      <c r="C49" s="122">
        <v>128.94</v>
      </c>
      <c r="D49" s="122">
        <v>48.47</v>
      </c>
      <c r="E49" s="123">
        <v>1.32</v>
      </c>
      <c r="F49" s="123">
        <f>C49-D49-E49</f>
        <v>79.15</v>
      </c>
      <c r="G49" s="122">
        <v>1.08</v>
      </c>
      <c r="H49" s="122"/>
      <c r="I49" s="122">
        <f t="shared" si="9"/>
        <v>1.08</v>
      </c>
      <c r="J49" s="122">
        <f t="shared" si="14"/>
        <v>48.47</v>
      </c>
      <c r="K49" s="122">
        <f t="shared" si="10"/>
        <v>80.23</v>
      </c>
      <c r="L49" s="123">
        <f t="shared" si="11"/>
        <v>38.61485962463161</v>
      </c>
      <c r="M49" s="123">
        <f t="shared" si="12"/>
        <v>0</v>
      </c>
      <c r="N49" s="124">
        <f t="shared" si="13"/>
        <v>38.29410859867713</v>
      </c>
      <c r="O49" s="68"/>
    </row>
    <row r="50" spans="2:15" ht="13.5">
      <c r="B50" s="115" t="s">
        <v>218</v>
      </c>
      <c r="C50" s="122">
        <v>89.11</v>
      </c>
      <c r="D50" s="122">
        <v>15.04</v>
      </c>
      <c r="E50" s="122">
        <v>0.79</v>
      </c>
      <c r="F50" s="122">
        <f t="shared" si="8"/>
        <v>73.27999999999999</v>
      </c>
      <c r="G50" s="122">
        <v>32.93</v>
      </c>
      <c r="H50" s="122"/>
      <c r="I50" s="122">
        <f t="shared" si="9"/>
        <v>32.93</v>
      </c>
      <c r="J50" s="122">
        <f t="shared" si="14"/>
        <v>15.04</v>
      </c>
      <c r="K50" s="122">
        <f t="shared" si="10"/>
        <v>106.20999999999998</v>
      </c>
      <c r="L50" s="123">
        <f t="shared" si="11"/>
        <v>17.764560655369767</v>
      </c>
      <c r="M50" s="123">
        <f t="shared" si="12"/>
        <v>0</v>
      </c>
      <c r="N50" s="124">
        <f t="shared" si="13"/>
        <v>12.97115699770567</v>
      </c>
      <c r="O50" s="68"/>
    </row>
    <row r="51" spans="2:15" ht="13.5">
      <c r="B51" s="115" t="s">
        <v>219</v>
      </c>
      <c r="C51" s="123">
        <v>110.71</v>
      </c>
      <c r="D51" s="122">
        <v>57.37</v>
      </c>
      <c r="E51" s="123">
        <v>1.58</v>
      </c>
      <c r="F51" s="122">
        <f t="shared" si="8"/>
        <v>51.76</v>
      </c>
      <c r="G51" s="122">
        <v>30.26</v>
      </c>
      <c r="H51" s="122">
        <v>0.74</v>
      </c>
      <c r="I51" s="122">
        <f t="shared" si="9"/>
        <v>29.520000000000003</v>
      </c>
      <c r="J51" s="122">
        <f t="shared" si="14"/>
        <v>58.11</v>
      </c>
      <c r="K51" s="122">
        <f t="shared" si="10"/>
        <v>81.28</v>
      </c>
      <c r="L51" s="123">
        <f t="shared" si="11"/>
        <v>53.24722247312799</v>
      </c>
      <c r="M51" s="123">
        <f t="shared" si="12"/>
        <v>2.445472571050892</v>
      </c>
      <c r="N51" s="124">
        <f t="shared" si="13"/>
        <v>42.34234234234234</v>
      </c>
      <c r="O51" s="68"/>
    </row>
    <row r="52" spans="2:15" ht="13.5">
      <c r="B52" s="115" t="s">
        <v>220</v>
      </c>
      <c r="C52" s="123">
        <v>192.66</v>
      </c>
      <c r="D52" s="122">
        <v>134.76</v>
      </c>
      <c r="E52" s="122">
        <v>6.35</v>
      </c>
      <c r="F52" s="122">
        <f t="shared" si="8"/>
        <v>51.550000000000004</v>
      </c>
      <c r="G52" s="122">
        <v>30.09</v>
      </c>
      <c r="H52" s="122"/>
      <c r="I52" s="122">
        <f t="shared" si="9"/>
        <v>30.09</v>
      </c>
      <c r="J52" s="122">
        <f t="shared" si="14"/>
        <v>134.76</v>
      </c>
      <c r="K52" s="122">
        <f t="shared" si="10"/>
        <v>81.64</v>
      </c>
      <c r="L52" s="123">
        <f t="shared" si="11"/>
        <v>73.24301878957749</v>
      </c>
      <c r="M52" s="123">
        <f t="shared" si="12"/>
        <v>0</v>
      </c>
      <c r="N52" s="124">
        <f t="shared" si="13"/>
        <v>63.34904601571267</v>
      </c>
      <c r="O52" s="68"/>
    </row>
    <row r="53" spans="2:15" ht="13.5">
      <c r="B53" s="115" t="s">
        <v>221</v>
      </c>
      <c r="C53" s="122">
        <v>16911.94</v>
      </c>
      <c r="D53" s="122">
        <v>6280.12</v>
      </c>
      <c r="E53" s="122">
        <v>272.36</v>
      </c>
      <c r="F53" s="122">
        <f t="shared" si="8"/>
        <v>10359.46</v>
      </c>
      <c r="G53" s="122">
        <v>10494.42</v>
      </c>
      <c r="H53" s="123">
        <v>883.91</v>
      </c>
      <c r="I53" s="123">
        <f t="shared" si="9"/>
        <v>9610.51</v>
      </c>
      <c r="J53" s="122">
        <f t="shared" si="14"/>
        <v>7164.03</v>
      </c>
      <c r="K53" s="122">
        <f t="shared" si="10"/>
        <v>19969.97</v>
      </c>
      <c r="L53" s="123">
        <f t="shared" si="11"/>
        <v>38.744697533222094</v>
      </c>
      <c r="M53" s="123">
        <f t="shared" si="12"/>
        <v>8.422666521827791</v>
      </c>
      <c r="N53" s="124">
        <f t="shared" si="13"/>
        <v>27.133811275922813</v>
      </c>
      <c r="O53" s="68"/>
    </row>
    <row r="54" spans="2:15" ht="13.5">
      <c r="B54" s="115" t="s">
        <v>222</v>
      </c>
      <c r="C54" s="122">
        <v>683.42</v>
      </c>
      <c r="D54" s="122">
        <v>320.07</v>
      </c>
      <c r="E54" s="123">
        <v>10.19</v>
      </c>
      <c r="F54" s="123">
        <f t="shared" si="8"/>
        <v>353.15999999999997</v>
      </c>
      <c r="G54" s="123">
        <v>300.29</v>
      </c>
      <c r="H54" s="123">
        <v>18.2</v>
      </c>
      <c r="I54" s="123">
        <f t="shared" si="9"/>
        <v>282.09000000000003</v>
      </c>
      <c r="J54" s="123">
        <f t="shared" si="14"/>
        <v>338.27</v>
      </c>
      <c r="K54" s="123">
        <f t="shared" si="10"/>
        <v>635.25</v>
      </c>
      <c r="L54" s="123">
        <f t="shared" si="11"/>
        <v>48.32460273331188</v>
      </c>
      <c r="M54" s="123">
        <f t="shared" si="12"/>
        <v>6.060807885710479</v>
      </c>
      <c r="N54" s="124">
        <f t="shared" si="13"/>
        <v>35.42304134348537</v>
      </c>
      <c r="O54" s="68"/>
    </row>
    <row r="55" spans="2:15" ht="13.5">
      <c r="B55" s="115" t="s">
        <v>223</v>
      </c>
      <c r="C55" s="122">
        <v>90.03</v>
      </c>
      <c r="D55" s="123">
        <v>68.8</v>
      </c>
      <c r="E55" s="122">
        <v>3.61</v>
      </c>
      <c r="F55" s="122">
        <f t="shared" si="8"/>
        <v>17.620000000000005</v>
      </c>
      <c r="G55" s="122">
        <v>64.02</v>
      </c>
      <c r="H55" s="122"/>
      <c r="I55" s="122">
        <f t="shared" si="9"/>
        <v>64.02</v>
      </c>
      <c r="J55" s="123">
        <f>D55+H55</f>
        <v>68.8</v>
      </c>
      <c r="K55" s="122">
        <f t="shared" si="10"/>
        <v>81.64</v>
      </c>
      <c r="L55" s="123">
        <f t="shared" si="11"/>
        <v>80.42874597356436</v>
      </c>
      <c r="M55" s="123">
        <f t="shared" si="12"/>
        <v>0</v>
      </c>
      <c r="N55" s="124">
        <f t="shared" si="13"/>
        <v>47.00421940928269</v>
      </c>
      <c r="O55" s="68"/>
    </row>
    <row r="56" spans="2:15" ht="13.5">
      <c r="B56" s="115" t="s">
        <v>224</v>
      </c>
      <c r="C56" s="122">
        <v>47.95</v>
      </c>
      <c r="D56" s="122">
        <v>9.13</v>
      </c>
      <c r="E56" s="122">
        <v>0.18</v>
      </c>
      <c r="F56" s="122">
        <f t="shared" si="8"/>
        <v>38.64</v>
      </c>
      <c r="G56" s="123">
        <v>11</v>
      </c>
      <c r="H56" s="122">
        <v>3.61</v>
      </c>
      <c r="I56" s="123">
        <f t="shared" si="9"/>
        <v>7.390000000000001</v>
      </c>
      <c r="J56" s="122">
        <f t="shared" si="14"/>
        <v>12.74</v>
      </c>
      <c r="K56" s="122">
        <f t="shared" si="10"/>
        <v>46.03</v>
      </c>
      <c r="L56" s="123">
        <f t="shared" si="11"/>
        <v>19.416058394160583</v>
      </c>
      <c r="M56" s="123">
        <f t="shared" si="12"/>
        <v>32.81818181818182</v>
      </c>
      <c r="N56" s="124">
        <f t="shared" si="13"/>
        <v>21.91687871077184</v>
      </c>
      <c r="O56" s="68"/>
    </row>
    <row r="57" spans="2:15" ht="13.5">
      <c r="B57" s="115" t="s">
        <v>226</v>
      </c>
      <c r="C57" s="133">
        <f>SUM(C35:C56)</f>
        <v>24020.619999999995</v>
      </c>
      <c r="D57" s="133">
        <f aca="true" t="shared" si="15" ref="D57:K57">SUM(D35:D56)</f>
        <v>8299.319999999998</v>
      </c>
      <c r="E57" s="133">
        <f t="shared" si="15"/>
        <v>342.07000000000005</v>
      </c>
      <c r="F57" s="133">
        <f t="shared" si="15"/>
        <v>15379.23</v>
      </c>
      <c r="G57" s="133">
        <f t="shared" si="15"/>
        <v>12104.050000000001</v>
      </c>
      <c r="H57" s="133">
        <f t="shared" si="15"/>
        <v>1099.1299999999999</v>
      </c>
      <c r="I57" s="133">
        <f t="shared" si="15"/>
        <v>11004.92</v>
      </c>
      <c r="J57" s="133">
        <f t="shared" si="14"/>
        <v>9398.449999999997</v>
      </c>
      <c r="K57" s="134">
        <f t="shared" si="15"/>
        <v>26384.15</v>
      </c>
      <c r="L57" s="134">
        <f t="shared" si="11"/>
        <v>35.97488324614435</v>
      </c>
      <c r="M57" s="134">
        <f t="shared" si="12"/>
        <v>9.080679607238897</v>
      </c>
      <c r="N57" s="124">
        <f t="shared" si="13"/>
        <v>26.96362347393069</v>
      </c>
      <c r="O57" s="68"/>
    </row>
    <row r="58" spans="2:15" ht="14.25" thickBot="1">
      <c r="B58" s="116" t="s">
        <v>227</v>
      </c>
      <c r="C58" s="126">
        <f aca="true" t="shared" si="16" ref="C58:I58">C29+C57</f>
        <v>108731.38</v>
      </c>
      <c r="D58" s="126">
        <f t="shared" si="16"/>
        <v>42889.21</v>
      </c>
      <c r="E58" s="126">
        <f t="shared" si="16"/>
        <v>1781.92</v>
      </c>
      <c r="F58" s="125">
        <f t="shared" si="16"/>
        <v>64060.250000000015</v>
      </c>
      <c r="G58" s="126">
        <f t="shared" si="16"/>
        <v>61327.210000000014</v>
      </c>
      <c r="H58" s="125">
        <f t="shared" si="16"/>
        <v>7875.79</v>
      </c>
      <c r="I58" s="126">
        <f t="shared" si="16"/>
        <v>53451.42</v>
      </c>
      <c r="J58" s="126">
        <f>D58+H58</f>
        <v>50765</v>
      </c>
      <c r="K58" s="126">
        <f>K29+K57</f>
        <v>117511.66999999998</v>
      </c>
      <c r="L58" s="126">
        <f t="shared" si="11"/>
        <v>41.08393547474519</v>
      </c>
      <c r="M58" s="126">
        <f t="shared" si="12"/>
        <v>12.8422440870863</v>
      </c>
      <c r="N58" s="127">
        <f t="shared" si="13"/>
        <v>30.899303587075483</v>
      </c>
      <c r="O58" s="68"/>
    </row>
    <row r="59" spans="2:15" ht="14.25" thickTop="1">
      <c r="B59" s="139"/>
      <c r="C59" s="140"/>
      <c r="D59" s="140"/>
      <c r="E59" s="140"/>
      <c r="F59" s="118"/>
      <c r="G59" s="140"/>
      <c r="H59" s="118"/>
      <c r="I59" s="140"/>
      <c r="J59" s="140"/>
      <c r="K59" s="140"/>
      <c r="L59" s="140"/>
      <c r="M59" s="140"/>
      <c r="N59" s="140"/>
      <c r="O59" s="68"/>
    </row>
    <row r="60" spans="2:15" ht="13.5">
      <c r="B60" s="139"/>
      <c r="C60" s="140"/>
      <c r="D60" s="140"/>
      <c r="E60" s="140"/>
      <c r="F60" s="118"/>
      <c r="G60" s="140"/>
      <c r="H60" s="118"/>
      <c r="I60" s="140"/>
      <c r="J60" s="140"/>
      <c r="K60" s="140"/>
      <c r="L60" s="140"/>
      <c r="M60" s="140"/>
      <c r="N60" s="140"/>
      <c r="O60" s="68"/>
    </row>
    <row r="61" spans="2:14" ht="15.75">
      <c r="B61" s="170" t="s">
        <v>48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</row>
    <row r="62" spans="2:14" ht="13.5">
      <c r="B62" s="169" t="s">
        <v>202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</row>
    <row r="63" spans="2:14" ht="13.5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28"/>
    </row>
    <row r="64" spans="2:14" ht="14.25" thickBot="1">
      <c r="B64" s="132" t="s">
        <v>108</v>
      </c>
      <c r="C64" s="118"/>
      <c r="D64" s="11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2:14" ht="81" customHeight="1" thickTop="1">
      <c r="B65" s="119" t="s">
        <v>189</v>
      </c>
      <c r="C65" s="120" t="s">
        <v>188</v>
      </c>
      <c r="D65" s="120" t="s">
        <v>186</v>
      </c>
      <c r="E65" s="120" t="s">
        <v>190</v>
      </c>
      <c r="F65" s="120" t="s">
        <v>191</v>
      </c>
      <c r="G65" s="120" t="s">
        <v>192</v>
      </c>
      <c r="H65" s="120" t="s">
        <v>193</v>
      </c>
      <c r="I65" s="120" t="s">
        <v>194</v>
      </c>
      <c r="J65" s="120" t="s">
        <v>195</v>
      </c>
      <c r="K65" s="120" t="s">
        <v>196</v>
      </c>
      <c r="L65" s="120" t="s">
        <v>187</v>
      </c>
      <c r="M65" s="120" t="s">
        <v>197</v>
      </c>
      <c r="N65" s="121" t="s">
        <v>198</v>
      </c>
    </row>
    <row r="66" spans="1:17" ht="13.5">
      <c r="A66">
        <v>1</v>
      </c>
      <c r="B66" s="115" t="s">
        <v>203</v>
      </c>
      <c r="C66" s="123">
        <v>7620</v>
      </c>
      <c r="D66" s="123">
        <v>2927.09</v>
      </c>
      <c r="E66" s="123">
        <v>133.62</v>
      </c>
      <c r="F66" s="123">
        <f>C66-D66-E66</f>
        <v>4559.29</v>
      </c>
      <c r="G66" s="122">
        <v>4627.49</v>
      </c>
      <c r="H66" s="123">
        <v>443.72</v>
      </c>
      <c r="I66" s="123">
        <f>G66-H66</f>
        <v>4183.7699999999995</v>
      </c>
      <c r="J66" s="122">
        <f aca="true" t="shared" si="17" ref="J66:J87">D66+H66</f>
        <v>3370.8100000000004</v>
      </c>
      <c r="K66" s="122">
        <f>F66+I66</f>
        <v>8743.06</v>
      </c>
      <c r="L66" s="123">
        <f>SUM(D66+E66)/C66%</f>
        <v>40.166797900262466</v>
      </c>
      <c r="M66" s="123">
        <f>SUM(H66/G66%)</f>
        <v>9.58878355220649</v>
      </c>
      <c r="N66" s="124">
        <f aca="true" t="shared" si="18" ref="N66:N88">(D66+E66+H66)/(C66+G66)%</f>
        <v>28.613454675202842</v>
      </c>
      <c r="O66" s="68"/>
      <c r="P66" s="68"/>
      <c r="Q66" s="68"/>
    </row>
    <row r="67" spans="1:14" ht="13.5">
      <c r="A67">
        <v>2</v>
      </c>
      <c r="B67" s="115" t="s">
        <v>204</v>
      </c>
      <c r="C67" s="122">
        <v>5160.39</v>
      </c>
      <c r="D67" s="122">
        <v>2420.59</v>
      </c>
      <c r="E67" s="123">
        <v>110.16</v>
      </c>
      <c r="F67" s="123">
        <f>C67-D67-E67</f>
        <v>2629.6400000000003</v>
      </c>
      <c r="G67" s="123">
        <v>1825.4</v>
      </c>
      <c r="H67" s="123">
        <v>225.3</v>
      </c>
      <c r="I67" s="123">
        <f aca="true" t="shared" si="19" ref="I67:I87">G67-H67</f>
        <v>1600.1000000000001</v>
      </c>
      <c r="J67" s="122">
        <f t="shared" si="17"/>
        <v>2645.8900000000003</v>
      </c>
      <c r="K67" s="122">
        <f aca="true" t="shared" si="20" ref="K67:K87">F67+I67</f>
        <v>4229.740000000001</v>
      </c>
      <c r="L67" s="123">
        <f aca="true" t="shared" si="21" ref="L67:L88">SUM(D67+E67)/C67%</f>
        <v>49.041835985264676</v>
      </c>
      <c r="M67" s="123">
        <f aca="true" t="shared" si="22" ref="M67:M88">SUM(H67/G67%)</f>
        <v>12.342500273912567</v>
      </c>
      <c r="N67" s="124">
        <f t="shared" si="18"/>
        <v>39.45223088584111</v>
      </c>
    </row>
    <row r="68" spans="1:14" ht="13.5">
      <c r="A68">
        <v>3</v>
      </c>
      <c r="B68" s="115" t="s">
        <v>205</v>
      </c>
      <c r="C68" s="122">
        <v>4794.33</v>
      </c>
      <c r="D68" s="122">
        <v>2000.78</v>
      </c>
      <c r="E68" s="122">
        <v>95.88</v>
      </c>
      <c r="F68" s="122">
        <f aca="true" t="shared" si="23" ref="F68:F87">C68-D68-E68</f>
        <v>2697.67</v>
      </c>
      <c r="G68" s="122">
        <v>2057.26</v>
      </c>
      <c r="H68" s="122">
        <v>271.85</v>
      </c>
      <c r="I68" s="122">
        <f t="shared" si="19"/>
        <v>1785.4100000000003</v>
      </c>
      <c r="J68" s="123">
        <f t="shared" si="17"/>
        <v>2272.63</v>
      </c>
      <c r="K68" s="123">
        <f t="shared" si="20"/>
        <v>4483.08</v>
      </c>
      <c r="L68" s="123">
        <f t="shared" si="21"/>
        <v>43.7320751804736</v>
      </c>
      <c r="M68" s="123">
        <f t="shared" si="22"/>
        <v>13.214178081525914</v>
      </c>
      <c r="N68" s="124">
        <f t="shared" si="18"/>
        <v>34.568764330615224</v>
      </c>
    </row>
    <row r="69" spans="1:14" ht="13.5">
      <c r="A69">
        <v>4</v>
      </c>
      <c r="B69" s="115" t="s">
        <v>206</v>
      </c>
      <c r="C69" s="123">
        <v>5823.84</v>
      </c>
      <c r="D69" s="123">
        <v>2713.42</v>
      </c>
      <c r="E69" s="123">
        <v>116</v>
      </c>
      <c r="F69" s="123">
        <f t="shared" si="23"/>
        <v>2994.42</v>
      </c>
      <c r="G69" s="122">
        <v>4015.23</v>
      </c>
      <c r="H69" s="122">
        <v>740.51</v>
      </c>
      <c r="I69" s="123">
        <f t="shared" si="19"/>
        <v>3274.7200000000003</v>
      </c>
      <c r="J69" s="122">
        <f t="shared" si="17"/>
        <v>3453.9300000000003</v>
      </c>
      <c r="K69" s="122">
        <f t="shared" si="20"/>
        <v>6269.14</v>
      </c>
      <c r="L69" s="123">
        <f t="shared" si="21"/>
        <v>48.58340888485947</v>
      </c>
      <c r="M69" s="123">
        <f t="shared" si="22"/>
        <v>18.44253006677077</v>
      </c>
      <c r="N69" s="124">
        <f t="shared" si="18"/>
        <v>36.283205628174215</v>
      </c>
    </row>
    <row r="70" spans="1:14" ht="13.5">
      <c r="A70">
        <v>5</v>
      </c>
      <c r="B70" s="115" t="s">
        <v>207</v>
      </c>
      <c r="C70" s="122">
        <v>7651.64</v>
      </c>
      <c r="D70" s="123">
        <v>2134.38</v>
      </c>
      <c r="E70" s="122">
        <v>82.14</v>
      </c>
      <c r="F70" s="122">
        <f t="shared" si="23"/>
        <v>5435.12</v>
      </c>
      <c r="G70" s="122">
        <v>6793.37</v>
      </c>
      <c r="H70" s="122">
        <v>576.19</v>
      </c>
      <c r="I70" s="122">
        <f t="shared" si="19"/>
        <v>6217.18</v>
      </c>
      <c r="J70" s="122">
        <f t="shared" si="17"/>
        <v>2710.57</v>
      </c>
      <c r="K70" s="123">
        <f t="shared" si="20"/>
        <v>11652.3</v>
      </c>
      <c r="L70" s="123">
        <f t="shared" si="21"/>
        <v>28.967907533548363</v>
      </c>
      <c r="M70" s="123">
        <f t="shared" si="22"/>
        <v>8.481651963605692</v>
      </c>
      <c r="N70" s="124">
        <f t="shared" si="18"/>
        <v>19.333389177300674</v>
      </c>
    </row>
    <row r="71" spans="1:14" ht="13.5">
      <c r="A71">
        <v>6</v>
      </c>
      <c r="B71" s="115" t="s">
        <v>208</v>
      </c>
      <c r="C71" s="123">
        <v>4570.51</v>
      </c>
      <c r="D71" s="122">
        <v>2152.67</v>
      </c>
      <c r="E71" s="122">
        <v>99.36</v>
      </c>
      <c r="F71" s="123">
        <f t="shared" si="23"/>
        <v>2318.48</v>
      </c>
      <c r="G71" s="122">
        <v>1857.23</v>
      </c>
      <c r="H71" s="122">
        <v>204.12</v>
      </c>
      <c r="I71" s="122">
        <f t="shared" si="19"/>
        <v>1653.1100000000001</v>
      </c>
      <c r="J71" s="122">
        <f t="shared" si="17"/>
        <v>2356.79</v>
      </c>
      <c r="K71" s="122">
        <f t="shared" si="20"/>
        <v>3971.59</v>
      </c>
      <c r="L71" s="123">
        <f t="shared" si="21"/>
        <v>49.27305705490197</v>
      </c>
      <c r="M71" s="123">
        <f t="shared" si="22"/>
        <v>10.990561212127739</v>
      </c>
      <c r="N71" s="124">
        <f t="shared" si="18"/>
        <v>38.21171982687539</v>
      </c>
    </row>
    <row r="72" spans="1:14" ht="13.5">
      <c r="A72">
        <v>7</v>
      </c>
      <c r="B72" s="115" t="s">
        <v>209</v>
      </c>
      <c r="C72" s="123">
        <v>916.12</v>
      </c>
      <c r="D72" s="123">
        <v>200.1</v>
      </c>
      <c r="E72" s="123">
        <v>5.8</v>
      </c>
      <c r="F72" s="122">
        <f t="shared" si="23"/>
        <v>710.22</v>
      </c>
      <c r="G72" s="123">
        <v>733.16</v>
      </c>
      <c r="H72" s="123">
        <v>49.52</v>
      </c>
      <c r="I72" s="122">
        <f t="shared" si="19"/>
        <v>683.64</v>
      </c>
      <c r="J72" s="122">
        <f t="shared" si="17"/>
        <v>249.62</v>
      </c>
      <c r="K72" s="122">
        <f t="shared" si="20"/>
        <v>1393.8600000000001</v>
      </c>
      <c r="L72" s="123">
        <f t="shared" si="21"/>
        <v>22.4752215866917</v>
      </c>
      <c r="M72" s="123">
        <f t="shared" si="22"/>
        <v>6.754323749249823</v>
      </c>
      <c r="N72" s="124">
        <f t="shared" si="18"/>
        <v>15.486757857974391</v>
      </c>
    </row>
    <row r="73" spans="1:15" ht="13.5">
      <c r="A73">
        <v>8</v>
      </c>
      <c r="B73" s="115" t="s">
        <v>210</v>
      </c>
      <c r="C73" s="122">
        <v>6866.36</v>
      </c>
      <c r="D73" s="122">
        <v>2864.51</v>
      </c>
      <c r="E73" s="123">
        <v>123.11</v>
      </c>
      <c r="F73" s="123">
        <f t="shared" si="23"/>
        <v>3878.7399999999993</v>
      </c>
      <c r="G73" s="122">
        <v>2537.21</v>
      </c>
      <c r="H73" s="122">
        <v>234.66</v>
      </c>
      <c r="I73" s="123">
        <f t="shared" si="19"/>
        <v>2302.55</v>
      </c>
      <c r="J73" s="122">
        <f t="shared" si="17"/>
        <v>3099.17</v>
      </c>
      <c r="K73" s="122">
        <f t="shared" si="20"/>
        <v>6181.289999999999</v>
      </c>
      <c r="L73" s="123">
        <f t="shared" si="21"/>
        <v>43.5109723346868</v>
      </c>
      <c r="M73" s="123">
        <f t="shared" si="22"/>
        <v>9.24874172811868</v>
      </c>
      <c r="N73" s="124">
        <f t="shared" si="18"/>
        <v>34.26656046586563</v>
      </c>
      <c r="O73" s="68"/>
    </row>
    <row r="74" spans="1:14" ht="13.5">
      <c r="A74">
        <v>9</v>
      </c>
      <c r="B74" s="115" t="s">
        <v>211</v>
      </c>
      <c r="C74" s="123">
        <v>803.8</v>
      </c>
      <c r="D74" s="123">
        <v>307.8</v>
      </c>
      <c r="E74" s="122">
        <v>10.25</v>
      </c>
      <c r="F74" s="122">
        <f t="shared" si="23"/>
        <v>485.74999999999994</v>
      </c>
      <c r="G74" s="123">
        <v>412.55</v>
      </c>
      <c r="H74" s="122">
        <v>27.13</v>
      </c>
      <c r="I74" s="122">
        <f t="shared" si="19"/>
        <v>385.42</v>
      </c>
      <c r="J74" s="122">
        <f t="shared" si="17"/>
        <v>334.93</v>
      </c>
      <c r="K74" s="122">
        <f t="shared" si="20"/>
        <v>871.17</v>
      </c>
      <c r="L74" s="123">
        <f t="shared" si="21"/>
        <v>39.568300572281665</v>
      </c>
      <c r="M74" s="123">
        <f t="shared" si="22"/>
        <v>6.576172585141196</v>
      </c>
      <c r="N74" s="124">
        <f t="shared" si="18"/>
        <v>28.37834504871131</v>
      </c>
    </row>
    <row r="75" spans="1:14" ht="13.5">
      <c r="A75">
        <v>10</v>
      </c>
      <c r="B75" s="115" t="s">
        <v>212</v>
      </c>
      <c r="C75" s="122">
        <v>5423.96</v>
      </c>
      <c r="D75" s="122">
        <v>1919.72</v>
      </c>
      <c r="E75" s="123">
        <v>79</v>
      </c>
      <c r="F75" s="122">
        <f t="shared" si="23"/>
        <v>3425.24</v>
      </c>
      <c r="G75" s="122">
        <v>1816.98</v>
      </c>
      <c r="H75" s="123">
        <v>274.12</v>
      </c>
      <c r="I75" s="122">
        <f t="shared" si="19"/>
        <v>1542.8600000000001</v>
      </c>
      <c r="J75" s="122">
        <f t="shared" si="17"/>
        <v>2193.84</v>
      </c>
      <c r="K75" s="123">
        <f t="shared" si="20"/>
        <v>4968.1</v>
      </c>
      <c r="L75" s="123">
        <f t="shared" si="21"/>
        <v>36.84982927602711</v>
      </c>
      <c r="M75" s="123">
        <f t="shared" si="22"/>
        <v>15.086572224240225</v>
      </c>
      <c r="N75" s="124">
        <f t="shared" si="18"/>
        <v>31.388742345607064</v>
      </c>
    </row>
    <row r="76" spans="1:14" ht="13.5">
      <c r="A76">
        <v>11</v>
      </c>
      <c r="B76" s="115" t="s">
        <v>213</v>
      </c>
      <c r="C76" s="122">
        <v>26469.09</v>
      </c>
      <c r="D76" s="123">
        <v>9402.21</v>
      </c>
      <c r="E76" s="123">
        <v>405.95</v>
      </c>
      <c r="F76" s="122">
        <f t="shared" si="23"/>
        <v>16660.93</v>
      </c>
      <c r="G76" s="122">
        <v>13513.47</v>
      </c>
      <c r="H76" s="122">
        <v>1116.97</v>
      </c>
      <c r="I76" s="123">
        <f t="shared" si="19"/>
        <v>12396.5</v>
      </c>
      <c r="J76" s="122">
        <f t="shared" si="17"/>
        <v>10519.179999999998</v>
      </c>
      <c r="K76" s="122">
        <f t="shared" si="20"/>
        <v>29057.43</v>
      </c>
      <c r="L76" s="123">
        <f t="shared" si="21"/>
        <v>37.05514621016438</v>
      </c>
      <c r="M76" s="123">
        <f t="shared" si="22"/>
        <v>8.265604615246863</v>
      </c>
      <c r="N76" s="124">
        <f t="shared" si="18"/>
        <v>27.324738586023507</v>
      </c>
    </row>
    <row r="77" spans="1:15" ht="13.5">
      <c r="A77">
        <v>12</v>
      </c>
      <c r="B77" s="115" t="s">
        <v>214</v>
      </c>
      <c r="C77" s="123">
        <v>18930.1</v>
      </c>
      <c r="D77" s="123">
        <v>8341.51</v>
      </c>
      <c r="E77" s="122">
        <v>375.44</v>
      </c>
      <c r="F77" s="122">
        <f t="shared" si="23"/>
        <v>10213.149999999998</v>
      </c>
      <c r="G77" s="123">
        <v>8520.5</v>
      </c>
      <c r="H77" s="122">
        <v>1706.28</v>
      </c>
      <c r="I77" s="123">
        <f t="shared" si="19"/>
        <v>6814.22</v>
      </c>
      <c r="J77" s="122">
        <f t="shared" si="17"/>
        <v>10047.79</v>
      </c>
      <c r="K77" s="122">
        <f t="shared" si="20"/>
        <v>17027.37</v>
      </c>
      <c r="L77" s="123">
        <f t="shared" si="21"/>
        <v>46.04809272005959</v>
      </c>
      <c r="M77" s="123">
        <f t="shared" si="22"/>
        <v>20.025585352972243</v>
      </c>
      <c r="N77" s="124">
        <f t="shared" si="18"/>
        <v>37.970864024830064</v>
      </c>
      <c r="O77" s="68"/>
    </row>
    <row r="78" spans="1:15" ht="13.5">
      <c r="A78">
        <v>13</v>
      </c>
      <c r="B78" s="115" t="s">
        <v>215</v>
      </c>
      <c r="C78" s="123">
        <v>6955.98</v>
      </c>
      <c r="D78" s="122">
        <v>3008.05</v>
      </c>
      <c r="E78" s="122">
        <v>128.04</v>
      </c>
      <c r="F78" s="123">
        <f t="shared" si="23"/>
        <v>3819.8899999999994</v>
      </c>
      <c r="G78" s="123">
        <v>3194.76</v>
      </c>
      <c r="H78" s="123">
        <v>444.2</v>
      </c>
      <c r="I78" s="122">
        <f t="shared" si="19"/>
        <v>2750.5600000000004</v>
      </c>
      <c r="J78" s="122">
        <f t="shared" si="17"/>
        <v>3452.25</v>
      </c>
      <c r="K78" s="122">
        <f t="shared" si="20"/>
        <v>6570.45</v>
      </c>
      <c r="L78" s="123">
        <f t="shared" si="21"/>
        <v>45.08480472916829</v>
      </c>
      <c r="M78" s="123">
        <f t="shared" si="22"/>
        <v>13.904017829195306</v>
      </c>
      <c r="N78" s="124">
        <f t="shared" si="18"/>
        <v>35.27122160551841</v>
      </c>
      <c r="O78" s="68"/>
    </row>
    <row r="79" spans="1:14" ht="13.5">
      <c r="A79">
        <v>14</v>
      </c>
      <c r="B79" s="115" t="s">
        <v>216</v>
      </c>
      <c r="C79" s="123">
        <v>2817.15</v>
      </c>
      <c r="D79" s="123">
        <v>532.56</v>
      </c>
      <c r="E79" s="123">
        <v>15.69</v>
      </c>
      <c r="F79" s="123">
        <f t="shared" si="23"/>
        <v>2268.9</v>
      </c>
      <c r="G79" s="122">
        <v>857.79</v>
      </c>
      <c r="H79" s="122">
        <v>84.98</v>
      </c>
      <c r="I79" s="122">
        <f t="shared" si="19"/>
        <v>772.81</v>
      </c>
      <c r="J79" s="123">
        <f t="shared" si="17"/>
        <v>617.54</v>
      </c>
      <c r="K79" s="122">
        <f t="shared" si="20"/>
        <v>3041.71</v>
      </c>
      <c r="L79" s="123">
        <f t="shared" si="21"/>
        <v>19.46115755284596</v>
      </c>
      <c r="M79" s="123">
        <f t="shared" si="22"/>
        <v>9.906853658820925</v>
      </c>
      <c r="N79" s="124">
        <f t="shared" si="18"/>
        <v>17.231029622252336</v>
      </c>
    </row>
    <row r="80" spans="1:14" ht="13.5">
      <c r="A80">
        <v>15</v>
      </c>
      <c r="B80" s="115" t="s">
        <v>217</v>
      </c>
      <c r="C80" s="122">
        <v>3596.98</v>
      </c>
      <c r="D80" s="137">
        <v>1933.01</v>
      </c>
      <c r="E80" s="123">
        <v>92.87</v>
      </c>
      <c r="F80" s="123">
        <f t="shared" si="23"/>
        <v>1571.1</v>
      </c>
      <c r="G80" s="122">
        <v>959.74</v>
      </c>
      <c r="H80" s="123">
        <v>274.98</v>
      </c>
      <c r="I80" s="122">
        <f t="shared" si="19"/>
        <v>684.76</v>
      </c>
      <c r="J80" s="122">
        <f t="shared" si="17"/>
        <v>2207.99</v>
      </c>
      <c r="K80" s="122">
        <f t="shared" si="20"/>
        <v>2255.8599999999997</v>
      </c>
      <c r="L80" s="123">
        <f t="shared" si="21"/>
        <v>56.32169208613893</v>
      </c>
      <c r="M80" s="123">
        <f t="shared" si="22"/>
        <v>28.651509783899808</v>
      </c>
      <c r="N80" s="124">
        <f t="shared" si="18"/>
        <v>50.493776225003955</v>
      </c>
    </row>
    <row r="81" spans="1:15" ht="13.5">
      <c r="A81">
        <v>16</v>
      </c>
      <c r="B81" s="115" t="s">
        <v>218</v>
      </c>
      <c r="C81" s="122">
        <v>4194.53</v>
      </c>
      <c r="D81" s="122">
        <v>1791.96</v>
      </c>
      <c r="E81" s="123">
        <v>79.8</v>
      </c>
      <c r="F81" s="122">
        <f t="shared" si="23"/>
        <v>2322.7699999999995</v>
      </c>
      <c r="G81" s="123">
        <v>1760.62</v>
      </c>
      <c r="H81" s="122">
        <v>265.62</v>
      </c>
      <c r="I81" s="123">
        <f t="shared" si="19"/>
        <v>1495</v>
      </c>
      <c r="J81" s="122">
        <f t="shared" si="17"/>
        <v>2057.58</v>
      </c>
      <c r="K81" s="122">
        <f t="shared" si="20"/>
        <v>3817.7699999999995</v>
      </c>
      <c r="L81" s="123">
        <f t="shared" si="21"/>
        <v>44.62383151390025</v>
      </c>
      <c r="M81" s="123">
        <f t="shared" si="22"/>
        <v>15.086730810737128</v>
      </c>
      <c r="N81" s="124">
        <f t="shared" si="18"/>
        <v>35.89128737311403</v>
      </c>
      <c r="O81" s="68"/>
    </row>
    <row r="82" spans="1:15" ht="13.5">
      <c r="A82">
        <v>17</v>
      </c>
      <c r="B82" s="115" t="s">
        <v>219</v>
      </c>
      <c r="C82" s="122">
        <v>7811.86</v>
      </c>
      <c r="D82" s="122">
        <v>3673.46</v>
      </c>
      <c r="E82" s="122">
        <v>159.58</v>
      </c>
      <c r="F82" s="123">
        <f t="shared" si="23"/>
        <v>3978.8199999999997</v>
      </c>
      <c r="G82" s="122">
        <v>2969.07</v>
      </c>
      <c r="H82" s="123">
        <v>421.11</v>
      </c>
      <c r="I82" s="122">
        <f t="shared" si="19"/>
        <v>2547.96</v>
      </c>
      <c r="J82" s="122">
        <f t="shared" si="17"/>
        <v>4094.57</v>
      </c>
      <c r="K82" s="122">
        <f t="shared" si="20"/>
        <v>6526.78</v>
      </c>
      <c r="L82" s="123">
        <f t="shared" si="21"/>
        <v>49.06693156303364</v>
      </c>
      <c r="M82" s="123">
        <f t="shared" si="22"/>
        <v>14.183229091937879</v>
      </c>
      <c r="N82" s="124">
        <f t="shared" si="18"/>
        <v>39.45995382587587</v>
      </c>
      <c r="O82" s="68"/>
    </row>
    <row r="83" spans="1:15" ht="13.5">
      <c r="A83">
        <v>18</v>
      </c>
      <c r="B83" s="115" t="s">
        <v>220</v>
      </c>
      <c r="C83" s="122">
        <v>5418.42</v>
      </c>
      <c r="D83" s="122">
        <v>3016.11</v>
      </c>
      <c r="E83" s="123">
        <v>139.82</v>
      </c>
      <c r="F83" s="123">
        <f t="shared" si="23"/>
        <v>2262.49</v>
      </c>
      <c r="G83" s="122">
        <v>1355.27</v>
      </c>
      <c r="H83" s="122">
        <v>304.09</v>
      </c>
      <c r="I83" s="122">
        <f t="shared" si="19"/>
        <v>1051.18</v>
      </c>
      <c r="J83" s="123">
        <f t="shared" si="17"/>
        <v>3320.2000000000003</v>
      </c>
      <c r="K83" s="122">
        <f t="shared" si="20"/>
        <v>3313.67</v>
      </c>
      <c r="L83" s="123">
        <f t="shared" si="21"/>
        <v>58.24446979008641</v>
      </c>
      <c r="M83" s="123">
        <f t="shared" si="22"/>
        <v>22.43759546068311</v>
      </c>
      <c r="N83" s="124">
        <f t="shared" si="18"/>
        <v>51.08028268196507</v>
      </c>
      <c r="O83" s="68"/>
    </row>
    <row r="84" spans="1:17" ht="13.5">
      <c r="A84">
        <v>19</v>
      </c>
      <c r="B84" s="115" t="s">
        <v>221</v>
      </c>
      <c r="C84" s="123">
        <v>110742.65</v>
      </c>
      <c r="D84" s="123">
        <f>39613.57+3036.79</f>
        <v>42650.36</v>
      </c>
      <c r="E84" s="123">
        <v>1667.65</v>
      </c>
      <c r="F84" s="122">
        <f t="shared" si="23"/>
        <v>66424.64</v>
      </c>
      <c r="G84" s="123">
        <v>54600.42</v>
      </c>
      <c r="H84" s="123">
        <v>8463.74</v>
      </c>
      <c r="I84" s="122">
        <f t="shared" si="19"/>
        <v>46136.68</v>
      </c>
      <c r="J84" s="122">
        <f t="shared" si="17"/>
        <v>51114.1</v>
      </c>
      <c r="K84" s="122">
        <f>F84+I84</f>
        <v>112561.32</v>
      </c>
      <c r="L84" s="123">
        <f>SUM(D84+E84)/C84%</f>
        <v>40.01891773404375</v>
      </c>
      <c r="M84" s="123">
        <f>SUM(H84/G84%)</f>
        <v>15.501236071077843</v>
      </c>
      <c r="N84" s="124">
        <f t="shared" si="18"/>
        <v>31.92256560858583</v>
      </c>
      <c r="O84" s="68"/>
      <c r="P84" s="68"/>
      <c r="Q84" s="68"/>
    </row>
    <row r="85" spans="1:17" ht="13.5">
      <c r="A85">
        <v>20</v>
      </c>
      <c r="B85" s="115" t="s">
        <v>222</v>
      </c>
      <c r="C85" s="123">
        <v>19828.06</v>
      </c>
      <c r="D85" s="123">
        <v>8751.5</v>
      </c>
      <c r="E85" s="123">
        <v>402.52</v>
      </c>
      <c r="F85" s="122">
        <f t="shared" si="23"/>
        <v>10674.04</v>
      </c>
      <c r="G85" s="122">
        <v>10078.33</v>
      </c>
      <c r="H85" s="123">
        <v>1476.41</v>
      </c>
      <c r="I85" s="122">
        <f t="shared" si="19"/>
        <v>8601.92</v>
      </c>
      <c r="J85" s="122">
        <f t="shared" si="17"/>
        <v>10227.91</v>
      </c>
      <c r="K85" s="122">
        <f t="shared" si="20"/>
        <v>19275.96</v>
      </c>
      <c r="L85" s="123">
        <f t="shared" si="21"/>
        <v>46.166997679046766</v>
      </c>
      <c r="M85" s="123">
        <f t="shared" si="22"/>
        <v>14.649351628692454</v>
      </c>
      <c r="N85" s="124">
        <f t="shared" si="18"/>
        <v>35.54568104007204</v>
      </c>
      <c r="O85" s="68"/>
      <c r="Q85" s="68"/>
    </row>
    <row r="86" spans="1:15" ht="13.5">
      <c r="A86">
        <v>21</v>
      </c>
      <c r="B86" s="115" t="s">
        <v>223</v>
      </c>
      <c r="C86" s="122">
        <v>924.72</v>
      </c>
      <c r="D86" s="122">
        <v>307.04</v>
      </c>
      <c r="E86" s="122">
        <v>13.53</v>
      </c>
      <c r="F86" s="122">
        <f t="shared" si="23"/>
        <v>604.1500000000001</v>
      </c>
      <c r="G86" s="123">
        <v>723.46</v>
      </c>
      <c r="H86" s="122">
        <v>95.91</v>
      </c>
      <c r="I86" s="123">
        <f t="shared" si="19"/>
        <v>627.5500000000001</v>
      </c>
      <c r="J86" s="122">
        <f t="shared" si="17"/>
        <v>402.95000000000005</v>
      </c>
      <c r="K86" s="123">
        <f t="shared" si="20"/>
        <v>1231.7000000000003</v>
      </c>
      <c r="L86" s="123">
        <f t="shared" si="21"/>
        <v>34.66670992300372</v>
      </c>
      <c r="M86" s="123">
        <f t="shared" si="22"/>
        <v>13.257125480330632</v>
      </c>
      <c r="N86" s="124">
        <f t="shared" si="18"/>
        <v>25.269084687352112</v>
      </c>
      <c r="O86" s="68"/>
    </row>
    <row r="87" spans="1:17" ht="13.5">
      <c r="A87">
        <v>22</v>
      </c>
      <c r="B87" s="115" t="s">
        <v>224</v>
      </c>
      <c r="C87" s="122">
        <v>7662.64</v>
      </c>
      <c r="D87" s="122">
        <v>2835.39</v>
      </c>
      <c r="E87" s="122">
        <v>130.71</v>
      </c>
      <c r="F87" s="122">
        <f t="shared" si="23"/>
        <v>4696.54</v>
      </c>
      <c r="G87" s="122">
        <v>4379.27</v>
      </c>
      <c r="H87" s="123">
        <v>493.48</v>
      </c>
      <c r="I87" s="123">
        <f t="shared" si="19"/>
        <v>3885.7900000000004</v>
      </c>
      <c r="J87" s="122">
        <f t="shared" si="17"/>
        <v>3328.87</v>
      </c>
      <c r="K87" s="122">
        <f t="shared" si="20"/>
        <v>8582.33</v>
      </c>
      <c r="L87" s="123">
        <f t="shared" si="21"/>
        <v>38.70859129490619</v>
      </c>
      <c r="M87" s="123">
        <f t="shared" si="22"/>
        <v>11.268544757459576</v>
      </c>
      <c r="N87" s="124">
        <f t="shared" si="18"/>
        <v>28.729495570054915</v>
      </c>
      <c r="O87" s="48"/>
      <c r="P87" s="47"/>
      <c r="Q87" s="48"/>
    </row>
    <row r="88" spans="2:18" ht="16.5" thickBot="1">
      <c r="B88" s="117" t="s">
        <v>225</v>
      </c>
      <c r="C88" s="125">
        <f aca="true" t="shared" si="24" ref="C88:K88">SUM(C66:C87)</f>
        <v>264983.13</v>
      </c>
      <c r="D88" s="125">
        <f t="shared" si="24"/>
        <v>105884.22</v>
      </c>
      <c r="E88" s="125">
        <f t="shared" si="24"/>
        <v>4466.92</v>
      </c>
      <c r="F88" s="125">
        <f t="shared" si="24"/>
        <v>154631.99000000002</v>
      </c>
      <c r="G88" s="125">
        <f t="shared" si="24"/>
        <v>129588.58</v>
      </c>
      <c r="H88" s="126">
        <f t="shared" si="24"/>
        <v>18194.89</v>
      </c>
      <c r="I88" s="126">
        <f t="shared" si="24"/>
        <v>111393.68999999999</v>
      </c>
      <c r="J88" s="125">
        <f>D88+H88</f>
        <v>124079.11</v>
      </c>
      <c r="K88" s="125">
        <f t="shared" si="24"/>
        <v>266025.68</v>
      </c>
      <c r="L88" s="126">
        <f t="shared" si="21"/>
        <v>41.64459073300252</v>
      </c>
      <c r="M88" s="126">
        <f t="shared" si="22"/>
        <v>14.040504186402844</v>
      </c>
      <c r="N88" s="127">
        <f t="shared" si="18"/>
        <v>32.578623034074084</v>
      </c>
      <c r="O88" s="72"/>
      <c r="P88" s="68"/>
      <c r="Q88" s="68"/>
      <c r="R88" s="70"/>
    </row>
    <row r="89" spans="2:14" ht="15" thickBot="1" thickTop="1">
      <c r="B89" s="118" t="s">
        <v>111</v>
      </c>
      <c r="C89" s="118"/>
      <c r="D89" s="11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2:14" ht="76.5" customHeight="1" thickTop="1">
      <c r="B90" s="119" t="s">
        <v>189</v>
      </c>
      <c r="C90" s="120" t="s">
        <v>188</v>
      </c>
      <c r="D90" s="120" t="s">
        <v>186</v>
      </c>
      <c r="E90" s="120" t="s">
        <v>190</v>
      </c>
      <c r="F90" s="120" t="s">
        <v>191</v>
      </c>
      <c r="G90" s="120" t="s">
        <v>192</v>
      </c>
      <c r="H90" s="120" t="s">
        <v>193</v>
      </c>
      <c r="I90" s="120" t="s">
        <v>194</v>
      </c>
      <c r="J90" s="120" t="s">
        <v>195</v>
      </c>
      <c r="K90" s="120" t="s">
        <v>196</v>
      </c>
      <c r="L90" s="120" t="s">
        <v>187</v>
      </c>
      <c r="M90" s="120" t="s">
        <v>197</v>
      </c>
      <c r="N90" s="121" t="s">
        <v>198</v>
      </c>
    </row>
    <row r="91" spans="2:14" ht="13.5">
      <c r="B91" s="115" t="s">
        <v>203</v>
      </c>
      <c r="C91" s="122">
        <v>198.94</v>
      </c>
      <c r="D91" s="122">
        <v>25.81</v>
      </c>
      <c r="E91" s="123">
        <v>1.1</v>
      </c>
      <c r="F91" s="122">
        <f aca="true" t="shared" si="25" ref="F91:F111">C91-D91-E91</f>
        <v>172.03</v>
      </c>
      <c r="G91" s="122">
        <v>114.87</v>
      </c>
      <c r="H91" s="123">
        <v>7.8</v>
      </c>
      <c r="I91" s="122">
        <f aca="true" t="shared" si="26" ref="I91:I112">G91-H91</f>
        <v>107.07000000000001</v>
      </c>
      <c r="J91" s="122">
        <f aca="true" t="shared" si="27" ref="J91:J112">D91+H91</f>
        <v>33.61</v>
      </c>
      <c r="K91" s="123">
        <f>F91+I91</f>
        <v>279.1</v>
      </c>
      <c r="L91" s="123">
        <f>SUM(D91+E91)/C91%</f>
        <v>13.526691464763244</v>
      </c>
      <c r="M91" s="123">
        <f>SUM(H91/G91%)</f>
        <v>6.7902846696265335</v>
      </c>
      <c r="N91" s="124">
        <f>(D91+E91+H91)/(C91+G91)%</f>
        <v>11.060832988113827</v>
      </c>
    </row>
    <row r="92" spans="2:14" ht="13.5">
      <c r="B92" s="115" t="s">
        <v>204</v>
      </c>
      <c r="C92" s="122">
        <v>496.04</v>
      </c>
      <c r="D92" s="122">
        <v>77.39</v>
      </c>
      <c r="E92" s="122">
        <v>1.77</v>
      </c>
      <c r="F92" s="122">
        <f t="shared" si="25"/>
        <v>416.88000000000005</v>
      </c>
      <c r="G92" s="122">
        <v>194.07</v>
      </c>
      <c r="H92" s="122">
        <v>25.66</v>
      </c>
      <c r="I92" s="122">
        <f t="shared" si="26"/>
        <v>168.41</v>
      </c>
      <c r="J92" s="122">
        <f t="shared" si="27"/>
        <v>103.05</v>
      </c>
      <c r="K92" s="122">
        <f aca="true" t="shared" si="28" ref="K92:K112">F92+I92</f>
        <v>585.2900000000001</v>
      </c>
      <c r="L92" s="123">
        <f aca="true" t="shared" si="29" ref="L92:L113">SUM(D92+E92)/C92%</f>
        <v>15.958390452382872</v>
      </c>
      <c r="M92" s="123">
        <f aca="true" t="shared" si="30" ref="M92:M114">SUM(H92/G92%)</f>
        <v>13.222033286958315</v>
      </c>
      <c r="N92" s="124">
        <f aca="true" t="shared" si="31" ref="N92:N114">(D92+E92+H92)/(C92+G92)%</f>
        <v>15.188882931706537</v>
      </c>
    </row>
    <row r="93" spans="2:14" ht="13.5">
      <c r="B93" s="115" t="s">
        <v>205</v>
      </c>
      <c r="C93" s="122">
        <v>356.34</v>
      </c>
      <c r="D93" s="122">
        <v>64.93</v>
      </c>
      <c r="E93" s="123">
        <v>1.2</v>
      </c>
      <c r="F93" s="122">
        <f t="shared" si="25"/>
        <v>290.21</v>
      </c>
      <c r="G93" s="122">
        <v>31.52</v>
      </c>
      <c r="H93" s="122"/>
      <c r="I93" s="122">
        <f t="shared" si="26"/>
        <v>31.52</v>
      </c>
      <c r="J93" s="122">
        <f t="shared" si="27"/>
        <v>64.93</v>
      </c>
      <c r="K93" s="122">
        <f t="shared" si="28"/>
        <v>321.72999999999996</v>
      </c>
      <c r="L93" s="123">
        <f t="shared" si="29"/>
        <v>18.55811865072684</v>
      </c>
      <c r="M93" s="123">
        <f t="shared" si="30"/>
        <v>0</v>
      </c>
      <c r="N93" s="124">
        <f t="shared" si="31"/>
        <v>17.04996648275151</v>
      </c>
    </row>
    <row r="94" spans="2:15" ht="13.5">
      <c r="B94" s="115" t="s">
        <v>206</v>
      </c>
      <c r="C94" s="123">
        <v>390.81</v>
      </c>
      <c r="D94" s="123">
        <v>128.05</v>
      </c>
      <c r="E94" s="122">
        <v>2.39</v>
      </c>
      <c r="F94" s="123">
        <f t="shared" si="25"/>
        <v>260.37</v>
      </c>
      <c r="G94" s="122">
        <v>88.74</v>
      </c>
      <c r="H94" s="122">
        <v>81.04</v>
      </c>
      <c r="I94" s="123">
        <f t="shared" si="26"/>
        <v>7.699999999999989</v>
      </c>
      <c r="J94" s="122">
        <f t="shared" si="27"/>
        <v>209.09000000000003</v>
      </c>
      <c r="K94" s="122">
        <f t="shared" si="28"/>
        <v>268.07</v>
      </c>
      <c r="L94" s="123">
        <f t="shared" si="29"/>
        <v>33.376832732018116</v>
      </c>
      <c r="M94" s="123">
        <f t="shared" si="30"/>
        <v>91.32296596799641</v>
      </c>
      <c r="N94" s="124">
        <f t="shared" si="31"/>
        <v>44.09967678031488</v>
      </c>
      <c r="O94" s="68"/>
    </row>
    <row r="95" spans="2:17" ht="13.5">
      <c r="B95" s="115" t="s">
        <v>207</v>
      </c>
      <c r="C95" s="122">
        <v>736.66</v>
      </c>
      <c r="D95" s="122">
        <v>303.84</v>
      </c>
      <c r="E95" s="122">
        <v>11.22</v>
      </c>
      <c r="F95" s="123">
        <f t="shared" si="25"/>
        <v>421.59999999999997</v>
      </c>
      <c r="G95" s="122">
        <v>320.14</v>
      </c>
      <c r="H95" s="123">
        <v>103.92</v>
      </c>
      <c r="I95" s="122">
        <f t="shared" si="26"/>
        <v>216.21999999999997</v>
      </c>
      <c r="J95" s="122">
        <f t="shared" si="27"/>
        <v>407.76</v>
      </c>
      <c r="K95" s="122">
        <f t="shared" si="28"/>
        <v>637.8199999999999</v>
      </c>
      <c r="L95" s="123">
        <f t="shared" si="29"/>
        <v>42.768712839030215</v>
      </c>
      <c r="M95" s="123">
        <f t="shared" si="30"/>
        <v>32.460798400699694</v>
      </c>
      <c r="N95" s="124">
        <f t="shared" si="31"/>
        <v>39.64610143830432</v>
      </c>
      <c r="Q95" s="68"/>
    </row>
    <row r="96" spans="2:14" ht="13.5">
      <c r="B96" s="115" t="s">
        <v>208</v>
      </c>
      <c r="C96" s="122">
        <v>1045.73</v>
      </c>
      <c r="D96" s="122">
        <v>199.87</v>
      </c>
      <c r="E96" s="122">
        <v>8.67</v>
      </c>
      <c r="F96" s="122">
        <f t="shared" si="25"/>
        <v>837.19</v>
      </c>
      <c r="G96" s="122">
        <v>146.09</v>
      </c>
      <c r="H96" s="122"/>
      <c r="I96" s="122">
        <f t="shared" si="26"/>
        <v>146.09</v>
      </c>
      <c r="J96" s="122">
        <f t="shared" si="27"/>
        <v>199.87</v>
      </c>
      <c r="K96" s="122">
        <f t="shared" si="28"/>
        <v>983.2800000000001</v>
      </c>
      <c r="L96" s="123">
        <f t="shared" si="29"/>
        <v>19.942050051160432</v>
      </c>
      <c r="M96" s="123">
        <f t="shared" si="30"/>
        <v>0</v>
      </c>
      <c r="N96" s="124">
        <f t="shared" si="31"/>
        <v>17.49760869930023</v>
      </c>
    </row>
    <row r="97" spans="2:14" ht="13.5">
      <c r="B97" s="115" t="s">
        <v>209</v>
      </c>
      <c r="C97" s="122">
        <v>64.27</v>
      </c>
      <c r="D97" s="122">
        <v>61.24</v>
      </c>
      <c r="E97" s="122">
        <v>3.03</v>
      </c>
      <c r="F97" s="123">
        <v>0</v>
      </c>
      <c r="G97" s="122">
        <v>13.64</v>
      </c>
      <c r="H97" s="122"/>
      <c r="I97" s="122">
        <f t="shared" si="26"/>
        <v>13.64</v>
      </c>
      <c r="J97" s="122">
        <f t="shared" si="27"/>
        <v>61.24</v>
      </c>
      <c r="K97" s="122">
        <f t="shared" si="28"/>
        <v>13.64</v>
      </c>
      <c r="L97" s="123">
        <f t="shared" si="29"/>
        <v>100</v>
      </c>
      <c r="M97" s="123">
        <f t="shared" si="30"/>
        <v>0</v>
      </c>
      <c r="N97" s="124">
        <f t="shared" si="31"/>
        <v>82.49261968938518</v>
      </c>
    </row>
    <row r="98" spans="2:17" ht="13.5">
      <c r="B98" s="115" t="s">
        <v>210</v>
      </c>
      <c r="C98" s="122">
        <v>606.89</v>
      </c>
      <c r="D98" s="122">
        <v>180.66</v>
      </c>
      <c r="E98" s="122">
        <v>6.82</v>
      </c>
      <c r="F98" s="122">
        <f t="shared" si="25"/>
        <v>419.41</v>
      </c>
      <c r="G98" s="123">
        <v>54.89</v>
      </c>
      <c r="H98" s="122"/>
      <c r="I98" s="122">
        <f t="shared" si="26"/>
        <v>54.89</v>
      </c>
      <c r="J98" s="122">
        <f t="shared" si="27"/>
        <v>180.66</v>
      </c>
      <c r="K98" s="123">
        <f t="shared" si="28"/>
        <v>474.3</v>
      </c>
      <c r="L98" s="123">
        <f t="shared" si="29"/>
        <v>30.891924401456603</v>
      </c>
      <c r="M98" s="123">
        <f t="shared" si="30"/>
        <v>0</v>
      </c>
      <c r="N98" s="124">
        <f t="shared" si="31"/>
        <v>28.32965638127474</v>
      </c>
      <c r="P98" s="68"/>
      <c r="Q98" s="68"/>
    </row>
    <row r="99" spans="2:16" ht="13.5">
      <c r="B99" s="115" t="s">
        <v>211</v>
      </c>
      <c r="C99" s="122">
        <v>92.99</v>
      </c>
      <c r="D99" s="122">
        <v>79.36</v>
      </c>
      <c r="E99" s="122">
        <v>4.04</v>
      </c>
      <c r="F99" s="122">
        <f t="shared" si="25"/>
        <v>9.589999999999996</v>
      </c>
      <c r="G99" s="122">
        <v>16.21</v>
      </c>
      <c r="H99" s="123">
        <v>16.21</v>
      </c>
      <c r="I99" s="122">
        <f t="shared" si="26"/>
        <v>0</v>
      </c>
      <c r="J99" s="123">
        <f t="shared" si="27"/>
        <v>95.57</v>
      </c>
      <c r="K99" s="122">
        <f t="shared" si="28"/>
        <v>9.589999999999996</v>
      </c>
      <c r="L99" s="123">
        <f t="shared" si="29"/>
        <v>89.68706312506723</v>
      </c>
      <c r="M99" s="123">
        <f t="shared" si="30"/>
        <v>99.99999999999999</v>
      </c>
      <c r="N99" s="124">
        <f t="shared" si="31"/>
        <v>91.21794871794874</v>
      </c>
      <c r="P99" s="68"/>
    </row>
    <row r="100" spans="2:17" ht="13.5">
      <c r="B100" s="115" t="s">
        <v>212</v>
      </c>
      <c r="C100" s="122">
        <v>598.06</v>
      </c>
      <c r="D100" s="123">
        <v>214.59</v>
      </c>
      <c r="E100" s="122">
        <v>11.62</v>
      </c>
      <c r="F100" s="122">
        <f t="shared" si="25"/>
        <v>371.8499999999999</v>
      </c>
      <c r="G100" s="123">
        <v>114</v>
      </c>
      <c r="H100" s="123">
        <v>78.14</v>
      </c>
      <c r="I100" s="123">
        <f t="shared" si="26"/>
        <v>35.86</v>
      </c>
      <c r="J100" s="123">
        <f t="shared" si="27"/>
        <v>292.73</v>
      </c>
      <c r="K100" s="122">
        <f t="shared" si="28"/>
        <v>407.7099999999999</v>
      </c>
      <c r="L100" s="123">
        <f t="shared" si="29"/>
        <v>37.823964150754115</v>
      </c>
      <c r="M100" s="123">
        <f t="shared" si="30"/>
        <v>68.54385964912281</v>
      </c>
      <c r="N100" s="124">
        <f t="shared" si="31"/>
        <v>42.742184647361185</v>
      </c>
      <c r="P100" s="68"/>
      <c r="Q100" s="68"/>
    </row>
    <row r="101" spans="2:15" ht="13.5">
      <c r="B101" s="115" t="s">
        <v>213</v>
      </c>
      <c r="C101" s="122">
        <v>16504.25</v>
      </c>
      <c r="D101" s="123">
        <v>14483.21</v>
      </c>
      <c r="E101" s="122">
        <v>728.71</v>
      </c>
      <c r="F101" s="122">
        <f t="shared" si="25"/>
        <v>1292.3300000000008</v>
      </c>
      <c r="G101" s="122">
        <v>496.73</v>
      </c>
      <c r="H101" s="122">
        <v>16.21</v>
      </c>
      <c r="I101" s="122">
        <f t="shared" si="26"/>
        <v>480.52000000000004</v>
      </c>
      <c r="J101" s="122">
        <f t="shared" si="27"/>
        <v>14499.419999999998</v>
      </c>
      <c r="K101" s="122">
        <f t="shared" si="28"/>
        <v>1772.8500000000008</v>
      </c>
      <c r="L101" s="123">
        <f t="shared" si="29"/>
        <v>92.1697138615811</v>
      </c>
      <c r="M101" s="123">
        <f t="shared" si="30"/>
        <v>3.2633422583697382</v>
      </c>
      <c r="N101" s="124">
        <f t="shared" si="31"/>
        <v>89.57207172762982</v>
      </c>
      <c r="O101" s="68"/>
    </row>
    <row r="102" spans="2:16" ht="13.5">
      <c r="B102" s="115" t="s">
        <v>214</v>
      </c>
      <c r="C102" s="122">
        <v>10570.12</v>
      </c>
      <c r="D102" s="122">
        <v>1421.71</v>
      </c>
      <c r="E102" s="122">
        <v>44.89</v>
      </c>
      <c r="F102" s="123">
        <f t="shared" si="25"/>
        <v>9103.52</v>
      </c>
      <c r="G102" s="122">
        <v>2868.37</v>
      </c>
      <c r="H102" s="122">
        <v>2378.73</v>
      </c>
      <c r="I102" s="122">
        <f t="shared" si="26"/>
        <v>489.6399999999999</v>
      </c>
      <c r="J102" s="122">
        <f t="shared" si="27"/>
        <v>3800.44</v>
      </c>
      <c r="K102" s="122">
        <f t="shared" si="28"/>
        <v>9593.16</v>
      </c>
      <c r="L102" s="123">
        <f t="shared" si="29"/>
        <v>13.874960738383292</v>
      </c>
      <c r="M102" s="123">
        <f t="shared" si="30"/>
        <v>82.92967783096323</v>
      </c>
      <c r="N102" s="124">
        <f t="shared" si="31"/>
        <v>28.614301160323812</v>
      </c>
      <c r="P102" s="68"/>
    </row>
    <row r="103" spans="2:14" ht="13.5">
      <c r="B103" s="115" t="s">
        <v>215</v>
      </c>
      <c r="C103" s="122">
        <v>958.56</v>
      </c>
      <c r="D103" s="123">
        <v>456.67</v>
      </c>
      <c r="E103" s="123">
        <v>3.03</v>
      </c>
      <c r="F103" s="122">
        <f t="shared" si="25"/>
        <v>498.85999999999996</v>
      </c>
      <c r="G103" s="122">
        <v>551.97</v>
      </c>
      <c r="H103" s="122">
        <v>520.54</v>
      </c>
      <c r="I103" s="123">
        <f t="shared" si="26"/>
        <v>31.430000000000064</v>
      </c>
      <c r="J103" s="122">
        <f t="shared" si="27"/>
        <v>977.21</v>
      </c>
      <c r="K103" s="122">
        <f t="shared" si="28"/>
        <v>530.29</v>
      </c>
      <c r="L103" s="123">
        <f t="shared" si="29"/>
        <v>47.957352695710235</v>
      </c>
      <c r="M103" s="123">
        <f t="shared" si="30"/>
        <v>94.30584995561352</v>
      </c>
      <c r="N103" s="124">
        <f t="shared" si="31"/>
        <v>64.8937790047202</v>
      </c>
    </row>
    <row r="104" spans="2:14" ht="13.5">
      <c r="B104" s="115" t="s">
        <v>216</v>
      </c>
      <c r="C104" s="122">
        <v>1178.87</v>
      </c>
      <c r="D104" s="122">
        <v>45.22</v>
      </c>
      <c r="E104" s="122">
        <v>1.79</v>
      </c>
      <c r="F104" s="122">
        <f t="shared" si="25"/>
        <v>1131.86</v>
      </c>
      <c r="G104" s="122">
        <v>161.77</v>
      </c>
      <c r="H104" s="122"/>
      <c r="I104" s="123">
        <f t="shared" si="26"/>
        <v>161.77</v>
      </c>
      <c r="J104" s="122">
        <f t="shared" si="27"/>
        <v>45.22</v>
      </c>
      <c r="K104" s="122">
        <f t="shared" si="28"/>
        <v>1293.6299999999999</v>
      </c>
      <c r="L104" s="123">
        <f t="shared" si="29"/>
        <v>3.987717051074334</v>
      </c>
      <c r="M104" s="123">
        <f t="shared" si="30"/>
        <v>0</v>
      </c>
      <c r="N104" s="124">
        <f t="shared" si="31"/>
        <v>3.5065341926244185</v>
      </c>
    </row>
    <row r="105" spans="2:14" ht="13.5">
      <c r="B105" s="115" t="s">
        <v>217</v>
      </c>
      <c r="C105" s="122">
        <v>383.28</v>
      </c>
      <c r="D105" s="122">
        <v>155.13</v>
      </c>
      <c r="E105" s="122">
        <v>4.65</v>
      </c>
      <c r="F105" s="123">
        <f t="shared" si="25"/>
        <v>223.49999999999997</v>
      </c>
      <c r="G105" s="122">
        <v>3.98</v>
      </c>
      <c r="H105" s="122"/>
      <c r="I105" s="122">
        <f t="shared" si="26"/>
        <v>3.98</v>
      </c>
      <c r="J105" s="122">
        <f t="shared" si="27"/>
        <v>155.13</v>
      </c>
      <c r="K105" s="122">
        <f t="shared" si="28"/>
        <v>227.47999999999996</v>
      </c>
      <c r="L105" s="123">
        <f t="shared" si="29"/>
        <v>41.687539135879774</v>
      </c>
      <c r="M105" s="123">
        <f t="shared" si="30"/>
        <v>0</v>
      </c>
      <c r="N105" s="124">
        <f t="shared" si="31"/>
        <v>41.25910241181635</v>
      </c>
    </row>
    <row r="106" spans="2:16" ht="13.5">
      <c r="B106" s="115" t="s">
        <v>218</v>
      </c>
      <c r="C106" s="122">
        <v>359.83</v>
      </c>
      <c r="D106" s="122">
        <v>110.78</v>
      </c>
      <c r="E106" s="122">
        <v>5.41</v>
      </c>
      <c r="F106" s="122">
        <f t="shared" si="25"/>
        <v>243.64</v>
      </c>
      <c r="G106" s="122">
        <v>58.72</v>
      </c>
      <c r="H106" s="122"/>
      <c r="I106" s="122">
        <f t="shared" si="26"/>
        <v>58.72</v>
      </c>
      <c r="J106" s="122">
        <f t="shared" si="27"/>
        <v>110.78</v>
      </c>
      <c r="K106" s="122">
        <f t="shared" si="28"/>
        <v>302.36</v>
      </c>
      <c r="L106" s="123">
        <f t="shared" si="29"/>
        <v>32.29024817274824</v>
      </c>
      <c r="M106" s="123">
        <v>0</v>
      </c>
      <c r="N106" s="124">
        <f t="shared" si="31"/>
        <v>27.760124238442245</v>
      </c>
      <c r="P106" s="68"/>
    </row>
    <row r="107" spans="2:14" ht="13.5">
      <c r="B107" s="115" t="s">
        <v>219</v>
      </c>
      <c r="C107" s="123">
        <v>471.61</v>
      </c>
      <c r="D107" s="122">
        <v>263.16</v>
      </c>
      <c r="E107" s="122">
        <v>5.61</v>
      </c>
      <c r="F107" s="123">
        <f t="shared" si="25"/>
        <v>202.83999999999997</v>
      </c>
      <c r="G107" s="122">
        <v>119.88</v>
      </c>
      <c r="H107" s="123">
        <v>10.1</v>
      </c>
      <c r="I107" s="122">
        <f t="shared" si="26"/>
        <v>109.78</v>
      </c>
      <c r="J107" s="122">
        <f t="shared" si="27"/>
        <v>273.26000000000005</v>
      </c>
      <c r="K107" s="122">
        <f t="shared" si="28"/>
        <v>312.62</v>
      </c>
      <c r="L107" s="123">
        <f t="shared" si="29"/>
        <v>56.98988571065076</v>
      </c>
      <c r="M107" s="123">
        <f t="shared" si="30"/>
        <v>8.425091758425092</v>
      </c>
      <c r="N107" s="124">
        <f t="shared" si="31"/>
        <v>47.14703545283945</v>
      </c>
    </row>
    <row r="108" spans="2:14" ht="13.5">
      <c r="B108" s="115" t="s">
        <v>220</v>
      </c>
      <c r="C108" s="123">
        <v>661.85</v>
      </c>
      <c r="D108" s="122">
        <v>475.37</v>
      </c>
      <c r="E108" s="122">
        <v>22.58</v>
      </c>
      <c r="F108" s="123">
        <f t="shared" si="25"/>
        <v>163.90000000000003</v>
      </c>
      <c r="G108" s="122">
        <v>39.46</v>
      </c>
      <c r="H108" s="122"/>
      <c r="I108" s="122">
        <f t="shared" si="26"/>
        <v>39.46</v>
      </c>
      <c r="J108" s="122">
        <f t="shared" si="27"/>
        <v>475.37</v>
      </c>
      <c r="K108" s="122">
        <f t="shared" si="28"/>
        <v>203.36000000000004</v>
      </c>
      <c r="L108" s="123">
        <f>SUM(D108+E108)/C108%</f>
        <v>75.2360806829342</v>
      </c>
      <c r="M108" s="123">
        <v>0</v>
      </c>
      <c r="N108" s="124">
        <f t="shared" si="31"/>
        <v>71.00283754687655</v>
      </c>
    </row>
    <row r="109" spans="2:15" ht="13.5">
      <c r="B109" s="115" t="s">
        <v>221</v>
      </c>
      <c r="C109" s="122">
        <v>87242.25</v>
      </c>
      <c r="D109" s="122">
        <v>30894.69</v>
      </c>
      <c r="E109" s="122">
        <v>1222.06</v>
      </c>
      <c r="F109" s="123">
        <f t="shared" si="25"/>
        <v>55125.5</v>
      </c>
      <c r="G109" s="122">
        <v>55978.37</v>
      </c>
      <c r="H109" s="122">
        <v>3026.56</v>
      </c>
      <c r="I109" s="123">
        <f t="shared" si="26"/>
        <v>52951.810000000005</v>
      </c>
      <c r="J109" s="122">
        <f t="shared" si="27"/>
        <v>33921.25</v>
      </c>
      <c r="K109" s="122">
        <f t="shared" si="28"/>
        <v>108077.31</v>
      </c>
      <c r="L109" s="123">
        <f t="shared" si="29"/>
        <v>36.81329860245466</v>
      </c>
      <c r="M109" s="123">
        <f t="shared" si="30"/>
        <v>5.4066597509002134</v>
      </c>
      <c r="N109" s="124">
        <f t="shared" si="31"/>
        <v>24.537884279512266</v>
      </c>
      <c r="O109" s="68"/>
    </row>
    <row r="110" spans="2:14" ht="13.5">
      <c r="B110" s="115" t="s">
        <v>222</v>
      </c>
      <c r="C110" s="122">
        <v>3340.76</v>
      </c>
      <c r="D110" s="122">
        <v>1217.86</v>
      </c>
      <c r="E110" s="123">
        <v>29.52</v>
      </c>
      <c r="F110" s="122">
        <f t="shared" si="25"/>
        <v>2093.3800000000006</v>
      </c>
      <c r="G110" s="122">
        <v>600.19</v>
      </c>
      <c r="H110" s="122">
        <v>28.58</v>
      </c>
      <c r="I110" s="122">
        <f t="shared" si="26"/>
        <v>571.61</v>
      </c>
      <c r="J110" s="122">
        <f>D110+H110</f>
        <v>1246.4399999999998</v>
      </c>
      <c r="K110" s="123">
        <f t="shared" si="28"/>
        <v>2664.9900000000007</v>
      </c>
      <c r="L110" s="123">
        <f t="shared" si="29"/>
        <v>37.33821046707934</v>
      </c>
      <c r="M110" s="123">
        <f t="shared" si="30"/>
        <v>4.761825421949715</v>
      </c>
      <c r="N110" s="124">
        <f t="shared" si="31"/>
        <v>32.376964945000566</v>
      </c>
    </row>
    <row r="111" spans="2:15" ht="13.5">
      <c r="B111" s="115" t="s">
        <v>223</v>
      </c>
      <c r="C111" s="123">
        <v>143.17</v>
      </c>
      <c r="D111" s="122">
        <v>111.23</v>
      </c>
      <c r="E111" s="122">
        <v>5.07</v>
      </c>
      <c r="F111" s="123">
        <f t="shared" si="25"/>
        <v>26.869999999999983</v>
      </c>
      <c r="G111" s="122">
        <v>103.79</v>
      </c>
      <c r="H111" s="122">
        <v>18.58</v>
      </c>
      <c r="I111" s="122">
        <f t="shared" si="26"/>
        <v>85.21000000000001</v>
      </c>
      <c r="J111" s="122">
        <f t="shared" si="27"/>
        <v>129.81</v>
      </c>
      <c r="K111" s="123">
        <f t="shared" si="28"/>
        <v>112.07999999999998</v>
      </c>
      <c r="L111" s="123">
        <f t="shared" si="29"/>
        <v>81.23210169728296</v>
      </c>
      <c r="M111" s="123">
        <f t="shared" si="30"/>
        <v>17.901531939493204</v>
      </c>
      <c r="N111" s="124">
        <f t="shared" si="31"/>
        <v>54.61613216715258</v>
      </c>
      <c r="O111" s="69"/>
    </row>
    <row r="112" spans="2:15" ht="13.5">
      <c r="B112" s="115" t="s">
        <v>224</v>
      </c>
      <c r="C112" s="122">
        <v>153.94</v>
      </c>
      <c r="D112" s="122">
        <v>49.29</v>
      </c>
      <c r="E112" s="122">
        <v>0.93</v>
      </c>
      <c r="F112" s="122">
        <f>C112-D112-E112</f>
        <v>103.72</v>
      </c>
      <c r="G112" s="122">
        <v>21.47</v>
      </c>
      <c r="H112" s="122">
        <v>10.76</v>
      </c>
      <c r="I112" s="122">
        <f t="shared" si="26"/>
        <v>10.709999999999999</v>
      </c>
      <c r="J112" s="122">
        <f t="shared" si="27"/>
        <v>60.05</v>
      </c>
      <c r="K112" s="122">
        <f t="shared" si="28"/>
        <v>114.42999999999999</v>
      </c>
      <c r="L112" s="123">
        <f t="shared" si="29"/>
        <v>32.623099909055476</v>
      </c>
      <c r="M112" s="123">
        <f t="shared" si="30"/>
        <v>50.11644154634374</v>
      </c>
      <c r="N112" s="124">
        <f t="shared" si="31"/>
        <v>34.7642665754518</v>
      </c>
      <c r="O112" s="48"/>
    </row>
    <row r="113" spans="2:17" ht="15.75">
      <c r="B113" s="115" t="s">
        <v>226</v>
      </c>
      <c r="C113" s="134">
        <f aca="true" t="shared" si="32" ref="C113:I113">SUM(C91:C112)</f>
        <v>126555.22</v>
      </c>
      <c r="D113" s="134">
        <f t="shared" si="32"/>
        <v>51020.06</v>
      </c>
      <c r="E113" s="133">
        <f t="shared" si="32"/>
        <v>2126.11</v>
      </c>
      <c r="F113" s="134">
        <f t="shared" si="32"/>
        <v>73409.05</v>
      </c>
      <c r="G113" s="133">
        <f>SUM(G91:G112)</f>
        <v>62098.87000000001</v>
      </c>
      <c r="H113" s="133">
        <f>SUM(H91:H112)</f>
        <v>6322.83</v>
      </c>
      <c r="I113" s="133">
        <f t="shared" si="32"/>
        <v>55776.04</v>
      </c>
      <c r="J113" s="134">
        <f>D113+H113</f>
        <v>57342.89</v>
      </c>
      <c r="K113" s="133">
        <f>SUM(K91:K112)</f>
        <v>129185.09</v>
      </c>
      <c r="L113" s="134">
        <f t="shared" si="29"/>
        <v>41.99445111785985</v>
      </c>
      <c r="M113" s="134">
        <f t="shared" si="30"/>
        <v>10.181876095329914</v>
      </c>
      <c r="N113" s="138">
        <f t="shared" si="31"/>
        <v>31.522772710626096</v>
      </c>
      <c r="O113" s="71"/>
      <c r="P113" s="68"/>
      <c r="Q113" s="68"/>
    </row>
    <row r="114" spans="2:14" ht="14.25" thickBot="1">
      <c r="B114" s="116" t="s">
        <v>228</v>
      </c>
      <c r="C114" s="126">
        <f>C88+C113</f>
        <v>391538.35</v>
      </c>
      <c r="D114" s="125">
        <f aca="true" t="shared" si="33" ref="D114:K114">D88+D113</f>
        <v>156904.28</v>
      </c>
      <c r="E114" s="125">
        <f t="shared" si="33"/>
        <v>6593.030000000001</v>
      </c>
      <c r="F114" s="125">
        <f t="shared" si="33"/>
        <v>228041.04000000004</v>
      </c>
      <c r="G114" s="125">
        <f t="shared" si="33"/>
        <v>191687.45</v>
      </c>
      <c r="H114" s="125">
        <f t="shared" si="33"/>
        <v>24517.72</v>
      </c>
      <c r="I114" s="125">
        <f t="shared" si="33"/>
        <v>167169.72999999998</v>
      </c>
      <c r="J114" s="126">
        <f t="shared" si="33"/>
        <v>181422</v>
      </c>
      <c r="K114" s="126">
        <f t="shared" si="33"/>
        <v>395210.77</v>
      </c>
      <c r="L114" s="126">
        <f>SUM(D114+E114)/C114%</f>
        <v>41.757674567510435</v>
      </c>
      <c r="M114" s="126">
        <f t="shared" si="30"/>
        <v>12.790466981536872</v>
      </c>
      <c r="N114" s="127">
        <f t="shared" si="31"/>
        <v>32.23709067740144</v>
      </c>
    </row>
    <row r="115" spans="2:14" ht="13.5" thickTop="1">
      <c r="B115" s="113"/>
      <c r="C115" s="114"/>
      <c r="D115" s="45"/>
      <c r="E115" s="45"/>
      <c r="F115" s="45"/>
      <c r="G115" s="45"/>
      <c r="H115" s="45"/>
      <c r="I115" s="45"/>
      <c r="J115" s="114"/>
      <c r="K115" s="114"/>
      <c r="L115" s="114"/>
      <c r="M115" s="114"/>
      <c r="N115" s="114"/>
    </row>
    <row r="116" spans="2:14" ht="12.75">
      <c r="B116" s="1" t="s">
        <v>199</v>
      </c>
      <c r="C116" s="114"/>
      <c r="D116" s="45"/>
      <c r="E116" s="45"/>
      <c r="F116" s="45"/>
      <c r="G116" s="45"/>
      <c r="H116" s="45"/>
      <c r="I116" s="45"/>
      <c r="J116" s="114"/>
      <c r="K116" s="114"/>
      <c r="L116" s="114"/>
      <c r="M116" s="114"/>
      <c r="N116" s="114"/>
    </row>
    <row r="117" spans="2:14" ht="12.75">
      <c r="B117" s="1" t="s">
        <v>200</v>
      </c>
      <c r="C117" s="114"/>
      <c r="D117" s="45"/>
      <c r="E117" s="45"/>
      <c r="F117" s="45"/>
      <c r="G117" s="45"/>
      <c r="H117" s="45"/>
      <c r="I117" s="45"/>
      <c r="J117" s="114"/>
      <c r="K117" s="114"/>
      <c r="L117" s="114"/>
      <c r="M117" s="114"/>
      <c r="N117" s="48"/>
    </row>
    <row r="118" ht="12.75">
      <c r="J118" s="70"/>
    </row>
    <row r="119" ht="12.75">
      <c r="J119" s="68"/>
    </row>
    <row r="120" spans="3:12" ht="12.75">
      <c r="C120" s="68">
        <f>C114+G114</f>
        <v>583225.8</v>
      </c>
      <c r="L120" s="68">
        <f>(J114+E114)/C120%</f>
        <v>32.23709067740144</v>
      </c>
    </row>
    <row r="121" spans="2:12" ht="13.5" thickBot="1">
      <c r="B121" t="s">
        <v>229</v>
      </c>
      <c r="L121" s="68">
        <f>(D114+E114+H114)/(C114+G114)%</f>
        <v>32.23709067740144</v>
      </c>
    </row>
    <row r="122" spans="2:14" ht="54.75" thickTop="1">
      <c r="B122" s="119" t="s">
        <v>189</v>
      </c>
      <c r="C122" s="120" t="s">
        <v>188</v>
      </c>
      <c r="D122" s="120" t="s">
        <v>186</v>
      </c>
      <c r="E122" s="120" t="s">
        <v>190</v>
      </c>
      <c r="F122" s="120" t="s">
        <v>191</v>
      </c>
      <c r="G122" s="120" t="s">
        <v>192</v>
      </c>
      <c r="H122" s="120" t="s">
        <v>193</v>
      </c>
      <c r="I122" s="120" t="s">
        <v>194</v>
      </c>
      <c r="J122" s="120" t="s">
        <v>195</v>
      </c>
      <c r="K122" s="120" t="s">
        <v>196</v>
      </c>
      <c r="L122" s="120" t="s">
        <v>187</v>
      </c>
      <c r="M122" s="120" t="s">
        <v>197</v>
      </c>
      <c r="N122" s="121" t="s">
        <v>198</v>
      </c>
    </row>
    <row r="123" spans="2:14" ht="13.5">
      <c r="B123" s="115" t="s">
        <v>203</v>
      </c>
      <c r="C123" s="123">
        <v>125.04</v>
      </c>
      <c r="D123" s="123">
        <v>0</v>
      </c>
      <c r="E123" s="123">
        <v>0</v>
      </c>
      <c r="F123" s="123">
        <f>C123-D123-E123</f>
        <v>125.04</v>
      </c>
      <c r="G123" s="122">
        <v>219.24</v>
      </c>
      <c r="H123" s="123">
        <v>0</v>
      </c>
      <c r="I123" s="123">
        <f>G123-H123</f>
        <v>219.24</v>
      </c>
      <c r="J123" s="123">
        <f aca="true" t="shared" si="34" ref="J123:J137">D123+H123</f>
        <v>0</v>
      </c>
      <c r="K123" s="122">
        <f>F123+I123</f>
        <v>344.28000000000003</v>
      </c>
      <c r="L123" s="123">
        <f>SUM(D123+E123)/C123%</f>
        <v>0</v>
      </c>
      <c r="M123" s="123">
        <f>SUM(H123/G123%)</f>
        <v>0</v>
      </c>
      <c r="N123" s="124">
        <f aca="true" t="shared" si="35" ref="N123:N138">(D123+E123+H123)/(C123+G123)%</f>
        <v>0</v>
      </c>
    </row>
    <row r="124" spans="2:14" ht="13.5">
      <c r="B124" s="115" t="s">
        <v>204</v>
      </c>
      <c r="C124" s="123">
        <v>0</v>
      </c>
      <c r="D124" s="123">
        <v>0</v>
      </c>
      <c r="E124" s="123">
        <v>0</v>
      </c>
      <c r="F124" s="123">
        <f>C124-D124-E124</f>
        <v>0</v>
      </c>
      <c r="G124" s="123">
        <v>379</v>
      </c>
      <c r="H124" s="123">
        <v>379</v>
      </c>
      <c r="I124" s="123">
        <f aca="true" t="shared" si="36" ref="I124:I137">G124-H124</f>
        <v>0</v>
      </c>
      <c r="J124" s="122">
        <f t="shared" si="34"/>
        <v>379</v>
      </c>
      <c r="K124" s="123">
        <f aca="true" t="shared" si="37" ref="K124:K134">F124+I124</f>
        <v>0</v>
      </c>
      <c r="L124" s="123">
        <v>0</v>
      </c>
      <c r="M124" s="123">
        <f aca="true" t="shared" si="38" ref="M124:M134">SUM(H124/G124%)</f>
        <v>100</v>
      </c>
      <c r="N124" s="124">
        <f t="shared" si="35"/>
        <v>100</v>
      </c>
    </row>
    <row r="125" spans="2:14" ht="13.5">
      <c r="B125" s="115" t="s">
        <v>205</v>
      </c>
      <c r="C125" s="123">
        <v>2441</v>
      </c>
      <c r="D125" s="123">
        <v>0</v>
      </c>
      <c r="E125" s="123">
        <v>0</v>
      </c>
      <c r="F125" s="123">
        <f aca="true" t="shared" si="39" ref="F125:F137">C125-D125-E125</f>
        <v>2441</v>
      </c>
      <c r="G125" s="122">
        <v>2259.17</v>
      </c>
      <c r="H125" s="123">
        <v>0</v>
      </c>
      <c r="I125" s="122">
        <f t="shared" si="36"/>
        <v>2259.17</v>
      </c>
      <c r="J125" s="123">
        <f t="shared" si="34"/>
        <v>0</v>
      </c>
      <c r="K125" s="123">
        <f t="shared" si="37"/>
        <v>4700.17</v>
      </c>
      <c r="L125" s="123">
        <f aca="true" t="shared" si="40" ref="L125:L134">SUM(D125+E125)/C125%</f>
        <v>0</v>
      </c>
      <c r="M125" s="123">
        <f t="shared" si="38"/>
        <v>0</v>
      </c>
      <c r="N125" s="124">
        <f t="shared" si="35"/>
        <v>0</v>
      </c>
    </row>
    <row r="126" spans="2:14" ht="13.5">
      <c r="B126" s="115" t="s">
        <v>206</v>
      </c>
      <c r="C126" s="123">
        <v>32</v>
      </c>
      <c r="D126" s="123">
        <v>0</v>
      </c>
      <c r="E126" s="123">
        <v>0</v>
      </c>
      <c r="F126" s="123">
        <f t="shared" si="39"/>
        <v>32</v>
      </c>
      <c r="G126" s="122">
        <v>20.38</v>
      </c>
      <c r="H126" s="123">
        <v>0</v>
      </c>
      <c r="I126" s="123">
        <f t="shared" si="36"/>
        <v>20.38</v>
      </c>
      <c r="J126" s="123">
        <f t="shared" si="34"/>
        <v>0</v>
      </c>
      <c r="K126" s="122">
        <f t="shared" si="37"/>
        <v>52.379999999999995</v>
      </c>
      <c r="L126" s="123">
        <f t="shared" si="40"/>
        <v>0</v>
      </c>
      <c r="M126" s="123">
        <f t="shared" si="38"/>
        <v>0</v>
      </c>
      <c r="N126" s="124">
        <f t="shared" si="35"/>
        <v>0</v>
      </c>
    </row>
    <row r="127" spans="2:14" ht="13.5">
      <c r="B127" s="115" t="s">
        <v>207</v>
      </c>
      <c r="C127" s="123">
        <v>0</v>
      </c>
      <c r="D127" s="123">
        <v>0</v>
      </c>
      <c r="E127" s="123">
        <v>0</v>
      </c>
      <c r="F127" s="123">
        <f t="shared" si="39"/>
        <v>0</v>
      </c>
      <c r="G127" s="122">
        <v>491.24</v>
      </c>
      <c r="H127" s="123">
        <v>0</v>
      </c>
      <c r="I127" s="122">
        <f t="shared" si="36"/>
        <v>491.24</v>
      </c>
      <c r="J127" s="123">
        <f t="shared" si="34"/>
        <v>0</v>
      </c>
      <c r="K127" s="123">
        <f t="shared" si="37"/>
        <v>491.24</v>
      </c>
      <c r="L127" s="123">
        <v>0</v>
      </c>
      <c r="M127" s="123">
        <f t="shared" si="38"/>
        <v>0</v>
      </c>
      <c r="N127" s="124">
        <f t="shared" si="35"/>
        <v>0</v>
      </c>
    </row>
    <row r="128" spans="2:14" ht="13.5">
      <c r="B128" s="115" t="s">
        <v>210</v>
      </c>
      <c r="C128" s="122">
        <v>61.43</v>
      </c>
      <c r="D128" s="123">
        <v>0</v>
      </c>
      <c r="E128" s="123">
        <v>0</v>
      </c>
      <c r="F128" s="123">
        <f t="shared" si="39"/>
        <v>61.43</v>
      </c>
      <c r="G128" s="123">
        <v>0</v>
      </c>
      <c r="H128" s="123">
        <v>0</v>
      </c>
      <c r="I128" s="123">
        <f t="shared" si="36"/>
        <v>0</v>
      </c>
      <c r="J128" s="123">
        <f t="shared" si="34"/>
        <v>0</v>
      </c>
      <c r="K128" s="122">
        <f t="shared" si="37"/>
        <v>61.43</v>
      </c>
      <c r="L128" s="123">
        <f t="shared" si="40"/>
        <v>0</v>
      </c>
      <c r="M128" s="123">
        <v>0</v>
      </c>
      <c r="N128" s="124">
        <f t="shared" si="35"/>
        <v>0</v>
      </c>
    </row>
    <row r="129" spans="2:14" ht="13.5">
      <c r="B129" s="115" t="s">
        <v>213</v>
      </c>
      <c r="C129" s="122">
        <v>562.21</v>
      </c>
      <c r="D129" s="123">
        <v>493.7</v>
      </c>
      <c r="E129" s="123">
        <v>0</v>
      </c>
      <c r="F129" s="122">
        <f t="shared" si="39"/>
        <v>68.51000000000005</v>
      </c>
      <c r="G129" s="122">
        <v>387.23</v>
      </c>
      <c r="H129" s="123">
        <v>118.8</v>
      </c>
      <c r="I129" s="123">
        <f t="shared" si="36"/>
        <v>268.43</v>
      </c>
      <c r="J129" s="123">
        <f t="shared" si="34"/>
        <v>612.5</v>
      </c>
      <c r="K129" s="122">
        <f t="shared" si="37"/>
        <v>336.94000000000005</v>
      </c>
      <c r="L129" s="123">
        <f t="shared" si="40"/>
        <v>87.81416196794791</v>
      </c>
      <c r="M129" s="123">
        <f t="shared" si="38"/>
        <v>30.679441159001108</v>
      </c>
      <c r="N129" s="124">
        <f t="shared" si="35"/>
        <v>64.51171216717222</v>
      </c>
    </row>
    <row r="130" spans="2:14" ht="13.5">
      <c r="B130" s="115" t="s">
        <v>214</v>
      </c>
      <c r="C130" s="123">
        <v>1790.5</v>
      </c>
      <c r="D130" s="123">
        <v>129.84</v>
      </c>
      <c r="E130" s="122">
        <v>6.83</v>
      </c>
      <c r="F130" s="122">
        <f t="shared" si="39"/>
        <v>1653.8300000000002</v>
      </c>
      <c r="G130" s="123">
        <v>1399.35</v>
      </c>
      <c r="H130" s="122">
        <v>1136.74</v>
      </c>
      <c r="I130" s="123">
        <f t="shared" si="36"/>
        <v>262.6099999999999</v>
      </c>
      <c r="J130" s="122">
        <f t="shared" si="34"/>
        <v>1266.58</v>
      </c>
      <c r="K130" s="122">
        <f t="shared" si="37"/>
        <v>1916.44</v>
      </c>
      <c r="L130" s="123">
        <f t="shared" si="40"/>
        <v>7.6330633901144935</v>
      </c>
      <c r="M130" s="123">
        <f t="shared" si="38"/>
        <v>81.23342980669597</v>
      </c>
      <c r="N130" s="124">
        <f t="shared" si="35"/>
        <v>39.92068592567049</v>
      </c>
    </row>
    <row r="131" spans="2:14" ht="13.5">
      <c r="B131" s="115" t="s">
        <v>215</v>
      </c>
      <c r="C131" s="123">
        <v>756.09</v>
      </c>
      <c r="D131" s="122">
        <v>47.18</v>
      </c>
      <c r="E131" s="123">
        <v>0</v>
      </c>
      <c r="F131" s="123">
        <f t="shared" si="39"/>
        <v>708.9100000000001</v>
      </c>
      <c r="G131" s="123">
        <v>191.8</v>
      </c>
      <c r="H131" s="123">
        <v>191.8</v>
      </c>
      <c r="I131" s="123">
        <f t="shared" si="36"/>
        <v>0</v>
      </c>
      <c r="J131" s="122">
        <f t="shared" si="34"/>
        <v>238.98000000000002</v>
      </c>
      <c r="K131" s="122">
        <f t="shared" si="37"/>
        <v>708.9100000000001</v>
      </c>
      <c r="L131" s="123">
        <f t="shared" si="40"/>
        <v>6.2399978838498065</v>
      </c>
      <c r="M131" s="123">
        <f t="shared" si="38"/>
        <v>100</v>
      </c>
      <c r="N131" s="124">
        <f t="shared" si="35"/>
        <v>25.21178617772104</v>
      </c>
    </row>
    <row r="132" spans="2:14" ht="13.5">
      <c r="B132" s="115" t="s">
        <v>218</v>
      </c>
      <c r="C132" s="123">
        <v>152</v>
      </c>
      <c r="D132" s="123">
        <v>152</v>
      </c>
      <c r="E132" s="123">
        <v>0</v>
      </c>
      <c r="F132" s="123">
        <f t="shared" si="39"/>
        <v>0</v>
      </c>
      <c r="G132" s="123">
        <v>76</v>
      </c>
      <c r="H132" s="123">
        <v>76</v>
      </c>
      <c r="I132" s="123">
        <f t="shared" si="36"/>
        <v>0</v>
      </c>
      <c r="J132" s="123">
        <f t="shared" si="34"/>
        <v>228</v>
      </c>
      <c r="K132" s="123">
        <f t="shared" si="37"/>
        <v>0</v>
      </c>
      <c r="L132" s="123">
        <f t="shared" si="40"/>
        <v>100</v>
      </c>
      <c r="M132" s="123">
        <f t="shared" si="38"/>
        <v>100</v>
      </c>
      <c r="N132" s="124">
        <f t="shared" si="35"/>
        <v>100.00000000000001</v>
      </c>
    </row>
    <row r="133" spans="2:14" ht="13.5">
      <c r="B133" s="115" t="s">
        <v>219</v>
      </c>
      <c r="C133" s="122">
        <v>302.85</v>
      </c>
      <c r="D133" s="123">
        <v>26.4</v>
      </c>
      <c r="E133" s="123">
        <v>0</v>
      </c>
      <c r="F133" s="123">
        <f t="shared" si="39"/>
        <v>276.45000000000005</v>
      </c>
      <c r="G133" s="122">
        <v>177.35</v>
      </c>
      <c r="H133" s="123">
        <v>0</v>
      </c>
      <c r="I133" s="122">
        <f t="shared" si="36"/>
        <v>177.35</v>
      </c>
      <c r="J133" s="123">
        <f t="shared" si="34"/>
        <v>26.4</v>
      </c>
      <c r="K133" s="123">
        <f t="shared" si="37"/>
        <v>453.80000000000007</v>
      </c>
      <c r="L133" s="123">
        <f t="shared" si="40"/>
        <v>8.71718672610203</v>
      </c>
      <c r="M133" s="123">
        <f t="shared" si="38"/>
        <v>0</v>
      </c>
      <c r="N133" s="124">
        <f t="shared" si="35"/>
        <v>5.49770928779675</v>
      </c>
    </row>
    <row r="134" spans="2:14" ht="13.5">
      <c r="B134" s="115" t="s">
        <v>220</v>
      </c>
      <c r="C134" s="122">
        <v>166.76</v>
      </c>
      <c r="D134" s="122">
        <v>166.76</v>
      </c>
      <c r="E134" s="123">
        <v>0</v>
      </c>
      <c r="F134" s="123">
        <f t="shared" si="39"/>
        <v>0</v>
      </c>
      <c r="G134" s="123">
        <v>28</v>
      </c>
      <c r="H134" s="123">
        <v>28</v>
      </c>
      <c r="I134" s="123">
        <f t="shared" si="36"/>
        <v>0</v>
      </c>
      <c r="J134" s="123">
        <f t="shared" si="34"/>
        <v>194.76</v>
      </c>
      <c r="K134" s="123">
        <f t="shared" si="37"/>
        <v>0</v>
      </c>
      <c r="L134" s="123">
        <f t="shared" si="40"/>
        <v>100</v>
      </c>
      <c r="M134" s="123">
        <f t="shared" si="38"/>
        <v>99.99999999999999</v>
      </c>
      <c r="N134" s="124">
        <f t="shared" si="35"/>
        <v>100</v>
      </c>
    </row>
    <row r="135" spans="2:14" ht="13.5">
      <c r="B135" s="115" t="s">
        <v>221</v>
      </c>
      <c r="C135" s="123">
        <v>26874.72</v>
      </c>
      <c r="D135" s="123">
        <v>9760.99</v>
      </c>
      <c r="E135" s="123">
        <v>233.06</v>
      </c>
      <c r="F135" s="122">
        <f t="shared" si="39"/>
        <v>16880.670000000002</v>
      </c>
      <c r="G135" s="123">
        <v>21406.16</v>
      </c>
      <c r="H135" s="123">
        <v>1318.78</v>
      </c>
      <c r="I135" s="122">
        <f t="shared" si="36"/>
        <v>20087.38</v>
      </c>
      <c r="J135" s="122">
        <f t="shared" si="34"/>
        <v>11079.77</v>
      </c>
      <c r="K135" s="122">
        <f>F135+I135</f>
        <v>36968.05</v>
      </c>
      <c r="L135" s="123">
        <f>SUM(D135+E135)/C135%</f>
        <v>37.187550233081495</v>
      </c>
      <c r="M135" s="123">
        <f>SUM(H135/G135%)</f>
        <v>6.160749989722585</v>
      </c>
      <c r="N135" s="124">
        <f t="shared" si="35"/>
        <v>23.431283771132588</v>
      </c>
    </row>
    <row r="136" spans="2:14" ht="13.5">
      <c r="B136" s="115" t="s">
        <v>222</v>
      </c>
      <c r="C136" s="123">
        <v>1642.7</v>
      </c>
      <c r="D136" s="123">
        <v>1116.71</v>
      </c>
      <c r="E136" s="123">
        <v>0</v>
      </c>
      <c r="F136" s="122">
        <f t="shared" si="39"/>
        <v>525.99</v>
      </c>
      <c r="G136" s="123">
        <v>0</v>
      </c>
      <c r="H136" s="123">
        <v>0</v>
      </c>
      <c r="I136" s="123">
        <f t="shared" si="36"/>
        <v>0</v>
      </c>
      <c r="J136" s="122">
        <f t="shared" si="34"/>
        <v>1116.71</v>
      </c>
      <c r="K136" s="122">
        <f>F136+I136</f>
        <v>525.99</v>
      </c>
      <c r="L136" s="123">
        <f>SUM(D136+E136)/C136%</f>
        <v>67.98015462348573</v>
      </c>
      <c r="M136" s="123">
        <v>0</v>
      </c>
      <c r="N136" s="124">
        <f t="shared" si="35"/>
        <v>67.98015462348573</v>
      </c>
    </row>
    <row r="137" spans="2:14" ht="13.5">
      <c r="B137" s="115" t="s">
        <v>224</v>
      </c>
      <c r="C137" s="122">
        <v>297.16</v>
      </c>
      <c r="D137" s="123">
        <v>0</v>
      </c>
      <c r="E137" s="123">
        <v>0</v>
      </c>
      <c r="F137" s="122">
        <f t="shared" si="39"/>
        <v>297.16</v>
      </c>
      <c r="G137" s="123">
        <v>0</v>
      </c>
      <c r="H137" s="123">
        <v>0</v>
      </c>
      <c r="I137" s="123">
        <f t="shared" si="36"/>
        <v>0</v>
      </c>
      <c r="J137" s="123">
        <f t="shared" si="34"/>
        <v>0</v>
      </c>
      <c r="K137" s="122">
        <f>F137+I137</f>
        <v>297.16</v>
      </c>
      <c r="L137" s="123">
        <f>SUM(D137+E137)/C137%</f>
        <v>0</v>
      </c>
      <c r="M137" s="123">
        <v>0</v>
      </c>
      <c r="N137" s="124">
        <f t="shared" si="35"/>
        <v>0</v>
      </c>
    </row>
    <row r="138" spans="2:14" ht="14.25" thickBot="1">
      <c r="B138" s="117" t="s">
        <v>226</v>
      </c>
      <c r="C138" s="125">
        <f aca="true" t="shared" si="41" ref="C138:I138">SUM(C123:C137)</f>
        <v>35204.46000000001</v>
      </c>
      <c r="D138" s="125">
        <f t="shared" si="41"/>
        <v>11893.579999999998</v>
      </c>
      <c r="E138" s="125">
        <f t="shared" si="41"/>
        <v>239.89000000000001</v>
      </c>
      <c r="F138" s="125">
        <f t="shared" si="41"/>
        <v>23070.990000000005</v>
      </c>
      <c r="G138" s="125">
        <f t="shared" si="41"/>
        <v>27034.92</v>
      </c>
      <c r="H138" s="126">
        <f t="shared" si="41"/>
        <v>3249.12</v>
      </c>
      <c r="I138" s="126">
        <f t="shared" si="41"/>
        <v>23785.8</v>
      </c>
      <c r="J138" s="126">
        <f>D138+H138</f>
        <v>15142.699999999997</v>
      </c>
      <c r="K138" s="125">
        <f>SUM(K123:K137)</f>
        <v>46856.79</v>
      </c>
      <c r="L138" s="126">
        <f>SUM(D138+E138)/C138%</f>
        <v>34.46571826410629</v>
      </c>
      <c r="M138" s="126">
        <f>SUM(H138/G138%)</f>
        <v>12.018234194885725</v>
      </c>
      <c r="N138" s="127">
        <f t="shared" si="35"/>
        <v>24.715204425236877</v>
      </c>
    </row>
    <row r="139" spans="2:14" ht="14.25" thickTop="1">
      <c r="B139" s="118"/>
      <c r="C139" s="118"/>
      <c r="D139" s="118"/>
      <c r="E139" s="118"/>
      <c r="F139" s="118"/>
      <c r="G139" s="118"/>
      <c r="H139" s="140"/>
      <c r="I139" s="140"/>
      <c r="J139" s="118"/>
      <c r="K139" s="118"/>
      <c r="L139" s="140"/>
      <c r="M139" s="140"/>
      <c r="N139" s="140"/>
    </row>
    <row r="140" ht="13.5" thickBot="1">
      <c r="B140" t="s">
        <v>229</v>
      </c>
    </row>
    <row r="141" spans="2:14" ht="54.75" thickTop="1">
      <c r="B141" s="119" t="s">
        <v>189</v>
      </c>
      <c r="C141" s="120" t="s">
        <v>188</v>
      </c>
      <c r="D141" s="120" t="s">
        <v>186</v>
      </c>
      <c r="E141" s="120" t="s">
        <v>190</v>
      </c>
      <c r="F141" s="120" t="s">
        <v>191</v>
      </c>
      <c r="G141" s="120" t="s">
        <v>192</v>
      </c>
      <c r="H141" s="120" t="s">
        <v>193</v>
      </c>
      <c r="I141" s="120" t="s">
        <v>194</v>
      </c>
      <c r="J141" s="120" t="s">
        <v>195</v>
      </c>
      <c r="K141" s="120" t="s">
        <v>196</v>
      </c>
      <c r="L141" s="120" t="s">
        <v>187</v>
      </c>
      <c r="M141" s="120" t="s">
        <v>197</v>
      </c>
      <c r="N141" s="121" t="s">
        <v>198</v>
      </c>
    </row>
    <row r="142" spans="2:14" ht="13.5">
      <c r="B142" s="115" t="s">
        <v>203</v>
      </c>
      <c r="C142" s="122">
        <v>2699.54</v>
      </c>
      <c r="D142" s="122">
        <v>707.31</v>
      </c>
      <c r="E142" s="123">
        <v>11.91</v>
      </c>
      <c r="F142" s="122">
        <f aca="true" t="shared" si="42" ref="F142:F148">C142-D142-E142</f>
        <v>1980.32</v>
      </c>
      <c r="G142" s="122">
        <v>1774.88</v>
      </c>
      <c r="H142" s="123">
        <v>152.02</v>
      </c>
      <c r="I142" s="122">
        <f aca="true" t="shared" si="43" ref="I142:I162">G142-H142</f>
        <v>1622.8600000000001</v>
      </c>
      <c r="J142" s="122">
        <f aca="true" t="shared" si="44" ref="J142:J159">D142+H142</f>
        <v>859.3299999999999</v>
      </c>
      <c r="K142" s="123">
        <f>F142+I142</f>
        <v>3603.1800000000003</v>
      </c>
      <c r="L142" s="123">
        <f>SUM(D142+E142)/C142%</f>
        <v>26.642316839165186</v>
      </c>
      <c r="M142" s="123">
        <f>SUM(H142/G142%)</f>
        <v>8.565086090327233</v>
      </c>
      <c r="N142" s="124">
        <f>(D142+E142+H142)/(C142+G142)%</f>
        <v>19.471573969363625</v>
      </c>
    </row>
    <row r="143" spans="2:14" ht="13.5">
      <c r="B143" s="115" t="s">
        <v>204</v>
      </c>
      <c r="C143" s="122">
        <v>262.2</v>
      </c>
      <c r="D143" s="122">
        <v>122.77</v>
      </c>
      <c r="E143" s="122">
        <v>1.25</v>
      </c>
      <c r="F143" s="122">
        <f t="shared" si="42"/>
        <v>138.18</v>
      </c>
      <c r="G143" s="122">
        <v>414.67</v>
      </c>
      <c r="H143" s="123">
        <v>195.2</v>
      </c>
      <c r="I143" s="122">
        <f t="shared" si="43"/>
        <v>219.47000000000003</v>
      </c>
      <c r="J143" s="122">
        <f t="shared" si="44"/>
        <v>317.96999999999997</v>
      </c>
      <c r="K143" s="122">
        <f aca="true" t="shared" si="45" ref="K143:K162">F143+I143</f>
        <v>357.65000000000003</v>
      </c>
      <c r="L143" s="123">
        <f aca="true" t="shared" si="46" ref="L143:L157">SUM(D143+E143)/C143%</f>
        <v>47.29977116704806</v>
      </c>
      <c r="M143" s="123">
        <f aca="true" t="shared" si="47" ref="M143:M156">SUM(H143/G143%)</f>
        <v>47.0735765789664</v>
      </c>
      <c r="N143" s="124">
        <f aca="true" t="shared" si="48" ref="N143:N164">(D143+E143+H143)/(C143+G143)%</f>
        <v>47.1611978666509</v>
      </c>
    </row>
    <row r="144" spans="2:14" ht="13.5">
      <c r="B144" s="115" t="s">
        <v>205</v>
      </c>
      <c r="C144" s="122">
        <v>3205.54</v>
      </c>
      <c r="D144" s="122">
        <v>802.95</v>
      </c>
      <c r="E144" s="123">
        <v>15.39</v>
      </c>
      <c r="F144" s="123">
        <f t="shared" si="42"/>
        <v>2387.2000000000003</v>
      </c>
      <c r="G144" s="122">
        <v>1660.68</v>
      </c>
      <c r="H144" s="123">
        <v>342</v>
      </c>
      <c r="I144" s="122">
        <f t="shared" si="43"/>
        <v>1318.68</v>
      </c>
      <c r="J144" s="122">
        <f t="shared" si="44"/>
        <v>1144.95</v>
      </c>
      <c r="K144" s="122">
        <f t="shared" si="45"/>
        <v>3705.88</v>
      </c>
      <c r="L144" s="123">
        <f t="shared" si="46"/>
        <v>25.528928043324996</v>
      </c>
      <c r="M144" s="123">
        <f t="shared" si="47"/>
        <v>20.593973553002385</v>
      </c>
      <c r="N144" s="124">
        <f t="shared" si="48"/>
        <v>23.844791234263965</v>
      </c>
    </row>
    <row r="145" spans="2:14" ht="13.5">
      <c r="B145" s="115" t="s">
        <v>206</v>
      </c>
      <c r="C145" s="123">
        <v>1882.06</v>
      </c>
      <c r="D145" s="123">
        <v>590.66</v>
      </c>
      <c r="E145" s="122">
        <v>10.28</v>
      </c>
      <c r="F145" s="123">
        <f t="shared" si="42"/>
        <v>1281.1200000000001</v>
      </c>
      <c r="G145" s="122">
        <v>1891.72</v>
      </c>
      <c r="H145" s="122">
        <v>181.85</v>
      </c>
      <c r="I145" s="123">
        <f t="shared" si="43"/>
        <v>1709.8700000000001</v>
      </c>
      <c r="J145" s="122">
        <f t="shared" si="44"/>
        <v>772.51</v>
      </c>
      <c r="K145" s="122">
        <f t="shared" si="45"/>
        <v>2990.9900000000002</v>
      </c>
      <c r="L145" s="123">
        <f t="shared" si="46"/>
        <v>31.929906591713333</v>
      </c>
      <c r="M145" s="123">
        <f t="shared" si="47"/>
        <v>9.612944833273422</v>
      </c>
      <c r="N145" s="124">
        <f t="shared" si="48"/>
        <v>20.74286259400389</v>
      </c>
    </row>
    <row r="146" spans="2:14" ht="13.5">
      <c r="B146" s="115" t="s">
        <v>207</v>
      </c>
      <c r="C146" s="122">
        <v>4498.52</v>
      </c>
      <c r="D146" s="122">
        <v>786.56</v>
      </c>
      <c r="E146" s="122">
        <v>15.08</v>
      </c>
      <c r="F146" s="123">
        <f t="shared" si="42"/>
        <v>3696.8800000000006</v>
      </c>
      <c r="G146" s="122">
        <v>5036.05</v>
      </c>
      <c r="H146" s="123">
        <v>294.09</v>
      </c>
      <c r="I146" s="122">
        <f t="shared" si="43"/>
        <v>4741.96</v>
      </c>
      <c r="J146" s="122">
        <f t="shared" si="44"/>
        <v>1080.6499999999999</v>
      </c>
      <c r="K146" s="122">
        <f t="shared" si="45"/>
        <v>8438.84</v>
      </c>
      <c r="L146" s="123">
        <f t="shared" si="46"/>
        <v>17.82008304953629</v>
      </c>
      <c r="M146" s="123">
        <f t="shared" si="47"/>
        <v>5.8396957933300895</v>
      </c>
      <c r="N146" s="124">
        <f t="shared" si="48"/>
        <v>11.492180559794518</v>
      </c>
    </row>
    <row r="147" spans="2:14" ht="13.5">
      <c r="B147" s="115" t="s">
        <v>208</v>
      </c>
      <c r="C147" s="122">
        <v>1849.09</v>
      </c>
      <c r="D147" s="122">
        <v>910.24</v>
      </c>
      <c r="E147" s="122">
        <v>18.24</v>
      </c>
      <c r="F147" s="122">
        <f t="shared" si="42"/>
        <v>920.6099999999999</v>
      </c>
      <c r="G147" s="122">
        <v>1005.68</v>
      </c>
      <c r="H147" s="122">
        <v>292.58</v>
      </c>
      <c r="I147" s="123">
        <f t="shared" si="43"/>
        <v>713.0999999999999</v>
      </c>
      <c r="J147" s="122">
        <f t="shared" si="44"/>
        <v>1202.82</v>
      </c>
      <c r="K147" s="122">
        <f t="shared" si="45"/>
        <v>1633.7099999999998</v>
      </c>
      <c r="L147" s="123">
        <f t="shared" si="46"/>
        <v>50.21280738092792</v>
      </c>
      <c r="M147" s="123">
        <f t="shared" si="47"/>
        <v>29.092753162039617</v>
      </c>
      <c r="N147" s="124">
        <f t="shared" si="48"/>
        <v>42.77262266312172</v>
      </c>
    </row>
    <row r="148" spans="2:14" ht="13.5">
      <c r="B148" s="115" t="s">
        <v>209</v>
      </c>
      <c r="C148" s="122">
        <v>22.75</v>
      </c>
      <c r="D148" s="122"/>
      <c r="E148" s="122"/>
      <c r="F148" s="122">
        <f t="shared" si="42"/>
        <v>22.75</v>
      </c>
      <c r="G148" s="122"/>
      <c r="H148" s="122"/>
      <c r="I148" s="122">
        <f t="shared" si="43"/>
        <v>0</v>
      </c>
      <c r="J148" s="122">
        <f t="shared" si="44"/>
        <v>0</v>
      </c>
      <c r="K148" s="122">
        <f t="shared" si="45"/>
        <v>22.75</v>
      </c>
      <c r="L148" s="123">
        <f t="shared" si="46"/>
        <v>0</v>
      </c>
      <c r="M148" s="123"/>
      <c r="N148" s="124">
        <f t="shared" si="48"/>
        <v>0</v>
      </c>
    </row>
    <row r="149" spans="2:14" ht="13.5">
      <c r="B149" s="115" t="s">
        <v>210</v>
      </c>
      <c r="C149" s="122">
        <v>1809.18</v>
      </c>
      <c r="D149" s="122">
        <v>441.52</v>
      </c>
      <c r="E149" s="122">
        <v>16.56</v>
      </c>
      <c r="F149" s="123">
        <f aca="true" t="shared" si="49" ref="F149:F161">C149-D149-E149</f>
        <v>1351.1000000000001</v>
      </c>
      <c r="G149" s="123">
        <v>1118.53</v>
      </c>
      <c r="H149" s="122">
        <v>145.42</v>
      </c>
      <c r="I149" s="122">
        <f t="shared" si="43"/>
        <v>973.11</v>
      </c>
      <c r="J149" s="122">
        <f t="shared" si="44"/>
        <v>586.9399999999999</v>
      </c>
      <c r="K149" s="123">
        <f t="shared" si="45"/>
        <v>2324.21</v>
      </c>
      <c r="L149" s="123">
        <f t="shared" si="46"/>
        <v>25.31975812246432</v>
      </c>
      <c r="M149" s="123">
        <f t="shared" si="47"/>
        <v>13.00099237391934</v>
      </c>
      <c r="N149" s="124">
        <f t="shared" si="48"/>
        <v>20.61338042360753</v>
      </c>
    </row>
    <row r="150" spans="2:14" ht="13.5">
      <c r="B150" s="115" t="s">
        <v>211</v>
      </c>
      <c r="C150" s="123">
        <v>43.9</v>
      </c>
      <c r="D150" s="122"/>
      <c r="E150" s="122"/>
      <c r="F150" s="123">
        <f t="shared" si="49"/>
        <v>43.9</v>
      </c>
      <c r="G150" s="123">
        <v>43.9</v>
      </c>
      <c r="H150" s="123"/>
      <c r="I150" s="123">
        <f t="shared" si="43"/>
        <v>43.9</v>
      </c>
      <c r="J150" s="123">
        <f t="shared" si="44"/>
        <v>0</v>
      </c>
      <c r="K150" s="123">
        <f t="shared" si="45"/>
        <v>87.8</v>
      </c>
      <c r="L150" s="123">
        <f t="shared" si="46"/>
        <v>0</v>
      </c>
      <c r="M150" s="123">
        <f t="shared" si="47"/>
        <v>0</v>
      </c>
      <c r="N150" s="124">
        <f t="shared" si="48"/>
        <v>0</v>
      </c>
    </row>
    <row r="151" spans="2:14" ht="13.5">
      <c r="B151" s="115" t="s">
        <v>212</v>
      </c>
      <c r="C151" s="123">
        <v>31.5</v>
      </c>
      <c r="D151" s="123">
        <v>19.5</v>
      </c>
      <c r="E151" s="122"/>
      <c r="F151" s="123">
        <f t="shared" si="49"/>
        <v>12</v>
      </c>
      <c r="G151" s="123">
        <v>72</v>
      </c>
      <c r="H151" s="123"/>
      <c r="I151" s="123">
        <f t="shared" si="43"/>
        <v>72</v>
      </c>
      <c r="J151" s="123">
        <f t="shared" si="44"/>
        <v>19.5</v>
      </c>
      <c r="K151" s="123">
        <f t="shared" si="45"/>
        <v>84</v>
      </c>
      <c r="L151" s="123">
        <f t="shared" si="46"/>
        <v>61.904761904761905</v>
      </c>
      <c r="M151" s="123">
        <f t="shared" si="47"/>
        <v>0</v>
      </c>
      <c r="N151" s="124">
        <f t="shared" si="48"/>
        <v>18.84057971014493</v>
      </c>
    </row>
    <row r="152" spans="2:14" ht="13.5">
      <c r="B152" s="115" t="s">
        <v>213</v>
      </c>
      <c r="C152" s="123">
        <v>14181.4</v>
      </c>
      <c r="D152" s="123">
        <v>3422.18</v>
      </c>
      <c r="E152" s="122">
        <v>93.27</v>
      </c>
      <c r="F152" s="122">
        <f t="shared" si="49"/>
        <v>10665.949999999999</v>
      </c>
      <c r="G152" s="122">
        <v>18656.05</v>
      </c>
      <c r="H152" s="122">
        <v>1927.54</v>
      </c>
      <c r="I152" s="122">
        <f t="shared" si="43"/>
        <v>16728.51</v>
      </c>
      <c r="J152" s="122">
        <f t="shared" si="44"/>
        <v>5349.719999999999</v>
      </c>
      <c r="K152" s="122">
        <f t="shared" si="45"/>
        <v>27394.46</v>
      </c>
      <c r="L152" s="123">
        <f t="shared" si="46"/>
        <v>24.789160449603003</v>
      </c>
      <c r="M152" s="123">
        <f t="shared" si="47"/>
        <v>10.331983458449136</v>
      </c>
      <c r="N152" s="124">
        <f t="shared" si="48"/>
        <v>16.575556262742694</v>
      </c>
    </row>
    <row r="153" spans="2:14" ht="13.5">
      <c r="B153" s="115" t="s">
        <v>214</v>
      </c>
      <c r="C153" s="122">
        <v>11306.97</v>
      </c>
      <c r="D153" s="122">
        <v>3819.86</v>
      </c>
      <c r="E153" s="122">
        <v>78.46</v>
      </c>
      <c r="F153" s="123">
        <f t="shared" si="49"/>
        <v>7408.649999999999</v>
      </c>
      <c r="G153" s="122">
        <v>8404.02</v>
      </c>
      <c r="H153" s="122">
        <v>1059.74</v>
      </c>
      <c r="I153" s="122">
        <f t="shared" si="43"/>
        <v>7344.280000000001</v>
      </c>
      <c r="J153" s="123">
        <f t="shared" si="44"/>
        <v>4879.6</v>
      </c>
      <c r="K153" s="122">
        <f t="shared" si="45"/>
        <v>14752.93</v>
      </c>
      <c r="L153" s="123">
        <f t="shared" si="46"/>
        <v>34.47714109084927</v>
      </c>
      <c r="M153" s="123">
        <f t="shared" si="47"/>
        <v>12.609917634655796</v>
      </c>
      <c r="N153" s="124">
        <f t="shared" si="48"/>
        <v>25.153784766772247</v>
      </c>
    </row>
    <row r="154" spans="2:14" ht="13.5">
      <c r="B154" s="115" t="s">
        <v>215</v>
      </c>
      <c r="C154" s="122">
        <v>3200.32</v>
      </c>
      <c r="D154" s="123">
        <v>809.75</v>
      </c>
      <c r="E154" s="123">
        <v>24.73</v>
      </c>
      <c r="F154" s="122">
        <f t="shared" si="49"/>
        <v>2365.84</v>
      </c>
      <c r="G154" s="122">
        <v>1824.79</v>
      </c>
      <c r="H154" s="122">
        <v>40.92</v>
      </c>
      <c r="I154" s="123">
        <f t="shared" si="43"/>
        <v>1783.87</v>
      </c>
      <c r="J154" s="122">
        <f t="shared" si="44"/>
        <v>850.67</v>
      </c>
      <c r="K154" s="122">
        <f t="shared" si="45"/>
        <v>4149.71</v>
      </c>
      <c r="L154" s="123">
        <f t="shared" si="46"/>
        <v>26.074892510748924</v>
      </c>
      <c r="M154" s="123">
        <f t="shared" si="47"/>
        <v>2.2424498161432274</v>
      </c>
      <c r="N154" s="124">
        <f t="shared" si="48"/>
        <v>17.420514177799088</v>
      </c>
    </row>
    <row r="155" spans="2:14" ht="13.5">
      <c r="B155" s="115" t="s">
        <v>217</v>
      </c>
      <c r="C155" s="122">
        <v>1396.01</v>
      </c>
      <c r="D155" s="122">
        <v>544.29</v>
      </c>
      <c r="E155" s="122">
        <v>18.11</v>
      </c>
      <c r="F155" s="123">
        <f t="shared" si="49"/>
        <v>833.61</v>
      </c>
      <c r="G155" s="123">
        <v>1317.1</v>
      </c>
      <c r="H155" s="122">
        <v>305.26</v>
      </c>
      <c r="I155" s="122">
        <f t="shared" si="43"/>
        <v>1011.8399999999999</v>
      </c>
      <c r="J155" s="122">
        <f t="shared" si="44"/>
        <v>849.55</v>
      </c>
      <c r="K155" s="122">
        <f t="shared" si="45"/>
        <v>1845.4499999999998</v>
      </c>
      <c r="L155" s="123">
        <f t="shared" si="46"/>
        <v>40.28624436787702</v>
      </c>
      <c r="M155" s="123">
        <f t="shared" si="47"/>
        <v>23.17667603067345</v>
      </c>
      <c r="N155" s="124">
        <f t="shared" si="48"/>
        <v>31.9802735606002</v>
      </c>
    </row>
    <row r="156" spans="2:14" ht="13.5">
      <c r="B156" s="115" t="s">
        <v>218</v>
      </c>
      <c r="C156" s="122">
        <v>229.27</v>
      </c>
      <c r="D156" s="122">
        <v>112.89</v>
      </c>
      <c r="E156" s="122">
        <v>2.19</v>
      </c>
      <c r="F156" s="122">
        <f t="shared" si="49"/>
        <v>114.19000000000001</v>
      </c>
      <c r="G156" s="122">
        <v>249.55</v>
      </c>
      <c r="H156" s="122">
        <v>25.44</v>
      </c>
      <c r="I156" s="122">
        <f t="shared" si="43"/>
        <v>224.11</v>
      </c>
      <c r="J156" s="122">
        <f t="shared" si="44"/>
        <v>138.33</v>
      </c>
      <c r="K156" s="122">
        <f t="shared" si="45"/>
        <v>338.3</v>
      </c>
      <c r="L156" s="123">
        <f t="shared" si="46"/>
        <v>50.194094299297774</v>
      </c>
      <c r="M156" s="123">
        <f t="shared" si="47"/>
        <v>10.194349829693447</v>
      </c>
      <c r="N156" s="124">
        <f t="shared" si="48"/>
        <v>29.347145064951338</v>
      </c>
    </row>
    <row r="157" spans="2:14" ht="13.5">
      <c r="B157" s="115" t="s">
        <v>219</v>
      </c>
      <c r="C157" s="123">
        <v>1440.17</v>
      </c>
      <c r="D157" s="122">
        <v>344.27</v>
      </c>
      <c r="E157" s="122">
        <v>9.14</v>
      </c>
      <c r="F157" s="123">
        <f t="shared" si="49"/>
        <v>1086.76</v>
      </c>
      <c r="G157" s="122">
        <v>1283.16</v>
      </c>
      <c r="H157" s="123">
        <v>221.43</v>
      </c>
      <c r="I157" s="122">
        <f t="shared" si="43"/>
        <v>1061.73</v>
      </c>
      <c r="J157" s="123">
        <f t="shared" si="44"/>
        <v>565.7</v>
      </c>
      <c r="K157" s="122">
        <f t="shared" si="45"/>
        <v>2148.49</v>
      </c>
      <c r="L157" s="123">
        <f t="shared" si="46"/>
        <v>24.539464091044806</v>
      </c>
      <c r="M157" s="123">
        <f>SUM(H157/G157%)</f>
        <v>17.256616478069763</v>
      </c>
      <c r="N157" s="124">
        <f t="shared" si="48"/>
        <v>21.107981772315508</v>
      </c>
    </row>
    <row r="158" spans="2:14" ht="13.5">
      <c r="B158" s="115" t="s">
        <v>220</v>
      </c>
      <c r="C158" s="123">
        <v>323.98</v>
      </c>
      <c r="D158" s="122">
        <v>105.47</v>
      </c>
      <c r="E158" s="122">
        <v>1.27</v>
      </c>
      <c r="F158" s="123">
        <f t="shared" si="49"/>
        <v>217.24</v>
      </c>
      <c r="G158" s="122">
        <v>74.98</v>
      </c>
      <c r="H158" s="123">
        <v>2.1</v>
      </c>
      <c r="I158" s="122">
        <f t="shared" si="43"/>
        <v>72.88000000000001</v>
      </c>
      <c r="J158" s="122">
        <f t="shared" si="44"/>
        <v>107.57</v>
      </c>
      <c r="K158" s="122">
        <f t="shared" si="45"/>
        <v>290.12</v>
      </c>
      <c r="L158" s="123">
        <f aca="true" t="shared" si="50" ref="L158:L164">SUM(D158+E158)/C158%</f>
        <v>32.946478177665284</v>
      </c>
      <c r="M158" s="123">
        <f>SUM(H158/G158%)</f>
        <v>2.800746865830888</v>
      </c>
      <c r="N158" s="124">
        <f t="shared" si="48"/>
        <v>27.28093041908963</v>
      </c>
    </row>
    <row r="159" spans="2:14" ht="13.5">
      <c r="B159" s="115" t="s">
        <v>221</v>
      </c>
      <c r="C159" s="122">
        <v>57132.42</v>
      </c>
      <c r="D159" s="122">
        <f>16472.58-238.2</f>
        <v>16234.380000000001</v>
      </c>
      <c r="E159" s="122">
        <v>334.72</v>
      </c>
      <c r="F159" s="123">
        <f t="shared" si="49"/>
        <v>40563.31999999999</v>
      </c>
      <c r="G159" s="122">
        <v>35999.12</v>
      </c>
      <c r="H159" s="122">
        <v>6796.18</v>
      </c>
      <c r="I159" s="123">
        <f t="shared" si="43"/>
        <v>29202.940000000002</v>
      </c>
      <c r="J159" s="122">
        <f t="shared" si="44"/>
        <v>23030.56</v>
      </c>
      <c r="K159" s="122">
        <f t="shared" si="45"/>
        <v>69766.26</v>
      </c>
      <c r="L159" s="123">
        <f t="shared" si="50"/>
        <v>29.001222073211675</v>
      </c>
      <c r="M159" s="123">
        <f aca="true" t="shared" si="51" ref="M159:M164">SUM(H159/G159%)</f>
        <v>18.878739258070752</v>
      </c>
      <c r="N159" s="124">
        <f t="shared" si="48"/>
        <v>25.088471639146096</v>
      </c>
    </row>
    <row r="160" spans="2:14" ht="13.5">
      <c r="B160" s="115" t="s">
        <v>222</v>
      </c>
      <c r="C160" s="122">
        <v>5315.05</v>
      </c>
      <c r="D160" s="122">
        <v>2797.29</v>
      </c>
      <c r="E160" s="123">
        <v>92.59</v>
      </c>
      <c r="F160" s="122">
        <f t="shared" si="49"/>
        <v>2425.17</v>
      </c>
      <c r="G160" s="122">
        <v>2946.72</v>
      </c>
      <c r="H160" s="122">
        <v>1165.55</v>
      </c>
      <c r="I160" s="122">
        <f t="shared" si="43"/>
        <v>1781.1699999999998</v>
      </c>
      <c r="J160" s="122">
        <f>D160+H160</f>
        <v>3962.84</v>
      </c>
      <c r="K160" s="123">
        <f t="shared" si="45"/>
        <v>4206.34</v>
      </c>
      <c r="L160" s="123">
        <f t="shared" si="50"/>
        <v>54.37164278793238</v>
      </c>
      <c r="M160" s="123">
        <f t="shared" si="51"/>
        <v>39.55414834120649</v>
      </c>
      <c r="N160" s="124">
        <f t="shared" si="48"/>
        <v>49.086696918456944</v>
      </c>
    </row>
    <row r="161" spans="2:14" ht="13.5">
      <c r="B161" s="115" t="s">
        <v>223</v>
      </c>
      <c r="C161" s="123">
        <v>89.23</v>
      </c>
      <c r="D161" s="122">
        <v>49.61</v>
      </c>
      <c r="E161" s="122">
        <v>1.27</v>
      </c>
      <c r="F161" s="123">
        <f t="shared" si="49"/>
        <v>38.35</v>
      </c>
      <c r="G161" s="123">
        <v>75</v>
      </c>
      <c r="H161" s="123">
        <v>0</v>
      </c>
      <c r="I161" s="123">
        <f t="shared" si="43"/>
        <v>75</v>
      </c>
      <c r="J161" s="122">
        <f>D161+H161</f>
        <v>49.61</v>
      </c>
      <c r="K161" s="123">
        <f t="shared" si="45"/>
        <v>113.35</v>
      </c>
      <c r="L161" s="123">
        <f t="shared" si="50"/>
        <v>57.02118121707945</v>
      </c>
      <c r="M161" s="123">
        <f t="shared" si="51"/>
        <v>0</v>
      </c>
      <c r="N161" s="124">
        <f t="shared" si="48"/>
        <v>30.98094136272301</v>
      </c>
    </row>
    <row r="162" spans="2:14" ht="13.5">
      <c r="B162" s="115" t="s">
        <v>224</v>
      </c>
      <c r="C162" s="122">
        <v>4864.21</v>
      </c>
      <c r="D162" s="122">
        <v>1377.03</v>
      </c>
      <c r="E162" s="122">
        <v>43.46</v>
      </c>
      <c r="F162" s="122">
        <f>C162-D162-E162</f>
        <v>3443.7200000000003</v>
      </c>
      <c r="G162" s="122">
        <v>5705.38</v>
      </c>
      <c r="H162" s="122">
        <v>587.45</v>
      </c>
      <c r="I162" s="122">
        <f t="shared" si="43"/>
        <v>5117.93</v>
      </c>
      <c r="J162" s="122">
        <f>D162+H162</f>
        <v>1964.48</v>
      </c>
      <c r="K162" s="122">
        <f t="shared" si="45"/>
        <v>8561.650000000001</v>
      </c>
      <c r="L162" s="123">
        <f t="shared" si="50"/>
        <v>29.20289214487039</v>
      </c>
      <c r="M162" s="123">
        <f t="shared" si="51"/>
        <v>10.296421973645927</v>
      </c>
      <c r="N162" s="124">
        <f t="shared" si="48"/>
        <v>18.997331022300774</v>
      </c>
    </row>
    <row r="163" spans="2:14" ht="13.5">
      <c r="B163" s="115" t="s">
        <v>225</v>
      </c>
      <c r="C163" s="134">
        <f aca="true" t="shared" si="52" ref="C163:I163">SUM(C142:C162)</f>
        <v>115783.31000000001</v>
      </c>
      <c r="D163" s="134">
        <f t="shared" si="52"/>
        <v>33998.53</v>
      </c>
      <c r="E163" s="133">
        <f t="shared" si="52"/>
        <v>787.9200000000001</v>
      </c>
      <c r="F163" s="134">
        <f t="shared" si="52"/>
        <v>80996.86</v>
      </c>
      <c r="G163" s="133">
        <f t="shared" si="52"/>
        <v>89553.98000000001</v>
      </c>
      <c r="H163" s="133">
        <f t="shared" si="52"/>
        <v>13734.77</v>
      </c>
      <c r="I163" s="133">
        <f t="shared" si="52"/>
        <v>75819.20999999999</v>
      </c>
      <c r="J163" s="134">
        <f>D163+H163</f>
        <v>47733.3</v>
      </c>
      <c r="K163" s="133">
        <f>SUM(K142:K162)</f>
        <v>156816.06999999998</v>
      </c>
      <c r="L163" s="134">
        <f t="shared" si="50"/>
        <v>30.044442502118823</v>
      </c>
      <c r="M163" s="134">
        <f t="shared" si="51"/>
        <v>15.336861633620302</v>
      </c>
      <c r="N163" s="138">
        <f t="shared" si="48"/>
        <v>23.63000894771719</v>
      </c>
    </row>
    <row r="164" spans="2:14" ht="14.25" thickBot="1">
      <c r="B164" s="116" t="s">
        <v>228</v>
      </c>
      <c r="C164" s="126">
        <f aca="true" t="shared" si="53" ref="C164:K164">C163+C138</f>
        <v>150987.77000000002</v>
      </c>
      <c r="D164" s="126">
        <f t="shared" si="53"/>
        <v>45892.11</v>
      </c>
      <c r="E164" s="126">
        <f t="shared" si="53"/>
        <v>1027.8100000000002</v>
      </c>
      <c r="F164" s="126">
        <f t="shared" si="53"/>
        <v>104067.85</v>
      </c>
      <c r="G164" s="126">
        <f t="shared" si="53"/>
        <v>116588.90000000001</v>
      </c>
      <c r="H164" s="126">
        <f t="shared" si="53"/>
        <v>16983.89</v>
      </c>
      <c r="I164" s="126">
        <f t="shared" si="53"/>
        <v>99605.01</v>
      </c>
      <c r="J164" s="126">
        <f t="shared" si="53"/>
        <v>62876</v>
      </c>
      <c r="K164" s="126">
        <f t="shared" si="53"/>
        <v>203672.86</v>
      </c>
      <c r="L164" s="126">
        <f t="shared" si="50"/>
        <v>31.075311596429295</v>
      </c>
      <c r="M164" s="126">
        <f t="shared" si="51"/>
        <v>14.567330166079273</v>
      </c>
      <c r="N164" s="127">
        <f t="shared" si="48"/>
        <v>23.882429660254008</v>
      </c>
    </row>
    <row r="165" spans="3:14" ht="13.5" thickTop="1">
      <c r="C165" s="68"/>
      <c r="D165" s="68"/>
      <c r="F165" s="68"/>
      <c r="G165" s="68"/>
      <c r="H165" s="68"/>
      <c r="I165" s="68"/>
      <c r="J165" s="68"/>
      <c r="K165" s="68"/>
      <c r="M165" s="141"/>
      <c r="N165" s="142"/>
    </row>
    <row r="166" spans="6:10" ht="12.75">
      <c r="F166" s="68"/>
      <c r="I166" s="68"/>
      <c r="J166" s="68"/>
    </row>
  </sheetData>
  <mergeCells count="4">
    <mergeCell ref="B3:N3"/>
    <mergeCell ref="B62:N62"/>
    <mergeCell ref="B61:N61"/>
    <mergeCell ref="B2:N2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87"/>
  <sheetViews>
    <sheetView workbookViewId="0" topLeftCell="A70">
      <selection activeCell="A62" sqref="A62:K86"/>
    </sheetView>
  </sheetViews>
  <sheetFormatPr defaultColWidth="9.140625" defaultRowHeight="12.75"/>
  <cols>
    <col min="1" max="1" width="16.00390625" style="0" customWidth="1"/>
    <col min="2" max="2" width="11.140625" style="0" customWidth="1"/>
    <col min="4" max="4" width="10.57421875" style="0" customWidth="1"/>
    <col min="5" max="5" width="11.57421875" style="0" customWidth="1"/>
    <col min="6" max="6" width="10.140625" style="0" customWidth="1"/>
    <col min="8" max="8" width="9.57421875" style="0" bestFit="1" customWidth="1"/>
    <col min="9" max="9" width="10.140625" style="0" bestFit="1" customWidth="1"/>
    <col min="10" max="10" width="10.00390625" style="0" bestFit="1" customWidth="1"/>
  </cols>
  <sheetData>
    <row r="1" spans="1:11" ht="13.5">
      <c r="A1" s="118"/>
      <c r="B1" s="118"/>
      <c r="C1" s="118"/>
      <c r="D1" s="118"/>
      <c r="E1" s="118"/>
      <c r="F1" s="118"/>
      <c r="G1" s="140"/>
      <c r="H1" s="140"/>
      <c r="I1" s="118"/>
      <c r="J1" s="118"/>
      <c r="K1" s="140"/>
    </row>
    <row r="2" spans="1:3" ht="13.5" thickBot="1">
      <c r="A2" s="152" t="s">
        <v>237</v>
      </c>
      <c r="B2" s="151"/>
      <c r="C2" s="151"/>
    </row>
    <row r="3" spans="1:11" ht="54.75" thickTop="1">
      <c r="A3" s="119" t="s">
        <v>189</v>
      </c>
      <c r="B3" s="120" t="s">
        <v>188</v>
      </c>
      <c r="C3" s="120" t="s">
        <v>186</v>
      </c>
      <c r="D3" s="120" t="s">
        <v>190</v>
      </c>
      <c r="E3" s="120" t="s">
        <v>191</v>
      </c>
      <c r="F3" s="120" t="s">
        <v>192</v>
      </c>
      <c r="G3" s="120" t="s">
        <v>193</v>
      </c>
      <c r="H3" s="120" t="s">
        <v>194</v>
      </c>
      <c r="I3" s="120" t="s">
        <v>195</v>
      </c>
      <c r="J3" s="120" t="s">
        <v>196</v>
      </c>
      <c r="K3" s="121" t="s">
        <v>198</v>
      </c>
    </row>
    <row r="4" spans="1:11" ht="13.5">
      <c r="A4" s="115" t="s">
        <v>203</v>
      </c>
      <c r="B4" s="122">
        <v>3356.15</v>
      </c>
      <c r="C4" s="122">
        <v>1579.82</v>
      </c>
      <c r="D4" s="123">
        <v>12.26</v>
      </c>
      <c r="E4" s="122">
        <f aca="true" t="shared" si="0" ref="E4:E24">B4-C4-D4</f>
        <v>1764.0700000000002</v>
      </c>
      <c r="F4" s="122">
        <v>3020.91</v>
      </c>
      <c r="G4" s="123">
        <v>463.23</v>
      </c>
      <c r="H4" s="122">
        <f aca="true" t="shared" si="1" ref="H4:H25">F4-G4</f>
        <v>2557.68</v>
      </c>
      <c r="I4" s="133">
        <f aca="true" t="shared" si="2" ref="I4:I26">C4+G4</f>
        <v>2043.05</v>
      </c>
      <c r="J4" s="123">
        <f aca="true" t="shared" si="3" ref="J4:J26">E4+H4</f>
        <v>4321.75</v>
      </c>
      <c r="K4" s="124">
        <f aca="true" t="shared" si="4" ref="K4:K26">(C4+D4+G4)/(B4+F4)%</f>
        <v>32.22974223231395</v>
      </c>
    </row>
    <row r="5" spans="1:11" ht="13.5">
      <c r="A5" s="115" t="s">
        <v>204</v>
      </c>
      <c r="B5" s="122">
        <v>229.13</v>
      </c>
      <c r="C5" s="122">
        <v>136.38</v>
      </c>
      <c r="D5" s="122">
        <v>2.52</v>
      </c>
      <c r="E5" s="122">
        <f t="shared" si="0"/>
        <v>90.23</v>
      </c>
      <c r="F5" s="122">
        <v>356.89</v>
      </c>
      <c r="G5" s="123">
        <v>107</v>
      </c>
      <c r="H5" s="122">
        <f t="shared" si="1"/>
        <v>249.89</v>
      </c>
      <c r="I5" s="133">
        <f t="shared" si="2"/>
        <v>243.38</v>
      </c>
      <c r="J5" s="123">
        <f t="shared" si="3"/>
        <v>340.12</v>
      </c>
      <c r="K5" s="124">
        <f t="shared" si="4"/>
        <v>41.96102522098222</v>
      </c>
    </row>
    <row r="6" spans="1:11" ht="13.5">
      <c r="A6" s="115" t="s">
        <v>205</v>
      </c>
      <c r="B6" s="122">
        <v>3122.33</v>
      </c>
      <c r="C6" s="122">
        <v>1119.05</v>
      </c>
      <c r="D6" s="123">
        <v>19.91</v>
      </c>
      <c r="E6" s="123">
        <f t="shared" si="0"/>
        <v>1983.37</v>
      </c>
      <c r="F6" s="122">
        <v>2554.12</v>
      </c>
      <c r="G6" s="123">
        <v>521.29</v>
      </c>
      <c r="H6" s="122">
        <f t="shared" si="1"/>
        <v>2032.83</v>
      </c>
      <c r="I6" s="133">
        <f t="shared" si="2"/>
        <v>1640.34</v>
      </c>
      <c r="J6" s="123">
        <f t="shared" si="3"/>
        <v>4016.2</v>
      </c>
      <c r="K6" s="124">
        <f t="shared" si="4"/>
        <v>29.248033542090567</v>
      </c>
    </row>
    <row r="7" spans="1:11" ht="13.5">
      <c r="A7" s="115" t="s">
        <v>206</v>
      </c>
      <c r="B7" s="123">
        <v>2666.71</v>
      </c>
      <c r="C7" s="123">
        <v>918.48</v>
      </c>
      <c r="D7" s="122">
        <v>20.06</v>
      </c>
      <c r="E7" s="123">
        <f t="shared" si="0"/>
        <v>1728.17</v>
      </c>
      <c r="F7" s="122">
        <v>3163.49</v>
      </c>
      <c r="G7" s="122">
        <v>352.33</v>
      </c>
      <c r="H7" s="123">
        <f t="shared" si="1"/>
        <v>2811.16</v>
      </c>
      <c r="I7" s="133">
        <f t="shared" si="2"/>
        <v>1270.81</v>
      </c>
      <c r="J7" s="123">
        <f t="shared" si="3"/>
        <v>4539.33</v>
      </c>
      <c r="K7" s="124">
        <f t="shared" si="4"/>
        <v>22.14109292991664</v>
      </c>
    </row>
    <row r="8" spans="1:11" ht="13.5">
      <c r="A8" s="115" t="s">
        <v>207</v>
      </c>
      <c r="B8" s="122">
        <v>6403.07</v>
      </c>
      <c r="C8" s="122">
        <v>1990.93</v>
      </c>
      <c r="D8" s="122">
        <v>26.15</v>
      </c>
      <c r="E8" s="123">
        <f t="shared" si="0"/>
        <v>4385.99</v>
      </c>
      <c r="F8" s="122">
        <v>8330.58</v>
      </c>
      <c r="G8" s="123">
        <v>909.25</v>
      </c>
      <c r="H8" s="122">
        <f t="shared" si="1"/>
        <v>7421.33</v>
      </c>
      <c r="I8" s="134">
        <f t="shared" si="2"/>
        <v>2900.1800000000003</v>
      </c>
      <c r="J8" s="123">
        <f t="shared" si="3"/>
        <v>11807.32</v>
      </c>
      <c r="K8" s="124">
        <f t="shared" si="4"/>
        <v>19.86154143745779</v>
      </c>
    </row>
    <row r="9" spans="1:11" ht="13.5">
      <c r="A9" s="115" t="s">
        <v>208</v>
      </c>
      <c r="B9" s="122">
        <v>1760.03</v>
      </c>
      <c r="C9" s="122">
        <v>1214.63</v>
      </c>
      <c r="D9" s="122">
        <v>27.75</v>
      </c>
      <c r="E9" s="122">
        <f t="shared" si="0"/>
        <v>517.6499999999999</v>
      </c>
      <c r="F9" s="122">
        <v>823.28</v>
      </c>
      <c r="G9" s="122">
        <v>524.06</v>
      </c>
      <c r="H9" s="123">
        <f t="shared" si="1"/>
        <v>299.22</v>
      </c>
      <c r="I9" s="133">
        <f t="shared" si="2"/>
        <v>1738.69</v>
      </c>
      <c r="J9" s="123">
        <f t="shared" si="3"/>
        <v>816.8699999999999</v>
      </c>
      <c r="K9" s="124">
        <f t="shared" si="4"/>
        <v>68.3789401968792</v>
      </c>
    </row>
    <row r="10" spans="1:11" ht="13.5">
      <c r="A10" s="115" t="s">
        <v>209</v>
      </c>
      <c r="B10" s="122">
        <v>22.75</v>
      </c>
      <c r="C10" s="122">
        <v>21.61</v>
      </c>
      <c r="D10" s="122">
        <v>1.14</v>
      </c>
      <c r="E10" s="122">
        <f t="shared" si="0"/>
        <v>0</v>
      </c>
      <c r="F10" s="122">
        <v>22.75</v>
      </c>
      <c r="G10" s="122">
        <v>22.75</v>
      </c>
      <c r="H10" s="122">
        <f t="shared" si="1"/>
        <v>0</v>
      </c>
      <c r="I10" s="133">
        <f t="shared" si="2"/>
        <v>44.36</v>
      </c>
      <c r="J10" s="123">
        <f t="shared" si="3"/>
        <v>0</v>
      </c>
      <c r="K10" s="124">
        <f t="shared" si="4"/>
        <v>100</v>
      </c>
    </row>
    <row r="11" spans="1:11" ht="13.5">
      <c r="A11" s="115" t="s">
        <v>210</v>
      </c>
      <c r="B11" s="122">
        <v>1506.84</v>
      </c>
      <c r="C11" s="122">
        <v>1056.71</v>
      </c>
      <c r="D11" s="122">
        <v>12.51</v>
      </c>
      <c r="E11" s="123">
        <f t="shared" si="0"/>
        <v>437.6199999999999</v>
      </c>
      <c r="F11" s="123">
        <v>1709.81</v>
      </c>
      <c r="G11" s="122">
        <v>460.73</v>
      </c>
      <c r="H11" s="122">
        <f t="shared" si="1"/>
        <v>1249.08</v>
      </c>
      <c r="I11" s="133">
        <f t="shared" si="2"/>
        <v>1517.44</v>
      </c>
      <c r="J11" s="123">
        <f t="shared" si="3"/>
        <v>1686.6999999999998</v>
      </c>
      <c r="K11" s="124">
        <f t="shared" si="4"/>
        <v>47.56345887802528</v>
      </c>
    </row>
    <row r="12" spans="1:11" ht="13.5">
      <c r="A12" s="115" t="s">
        <v>211</v>
      </c>
      <c r="B12" s="123">
        <v>43.9</v>
      </c>
      <c r="C12" s="123">
        <v>1</v>
      </c>
      <c r="D12" s="122"/>
      <c r="E12" s="123">
        <f t="shared" si="0"/>
        <v>42.9</v>
      </c>
      <c r="F12" s="123">
        <v>46.9</v>
      </c>
      <c r="G12" s="123">
        <v>4</v>
      </c>
      <c r="H12" s="123">
        <f t="shared" si="1"/>
        <v>42.9</v>
      </c>
      <c r="I12" s="134">
        <f t="shared" si="2"/>
        <v>5</v>
      </c>
      <c r="J12" s="123">
        <f t="shared" si="3"/>
        <v>85.8</v>
      </c>
      <c r="K12" s="124">
        <f t="shared" si="4"/>
        <v>5.506607929515419</v>
      </c>
    </row>
    <row r="13" spans="1:11" ht="13.5">
      <c r="A13" s="115" t="s">
        <v>212</v>
      </c>
      <c r="B13" s="123">
        <v>56.94</v>
      </c>
      <c r="C13" s="123">
        <v>34.36</v>
      </c>
      <c r="D13" s="122">
        <v>0.98</v>
      </c>
      <c r="E13" s="123">
        <f t="shared" si="0"/>
        <v>21.599999999999998</v>
      </c>
      <c r="F13" s="123">
        <v>109.2</v>
      </c>
      <c r="G13" s="123">
        <v>48</v>
      </c>
      <c r="H13" s="123">
        <f t="shared" si="1"/>
        <v>61.2</v>
      </c>
      <c r="I13" s="133">
        <f t="shared" si="2"/>
        <v>82.36</v>
      </c>
      <c r="J13" s="123">
        <f t="shared" si="3"/>
        <v>82.8</v>
      </c>
      <c r="K13" s="124">
        <f t="shared" si="4"/>
        <v>50.16251354279524</v>
      </c>
    </row>
    <row r="14" spans="1:11" ht="13.5">
      <c r="A14" s="115" t="s">
        <v>213</v>
      </c>
      <c r="B14" s="123">
        <v>15363.13</v>
      </c>
      <c r="C14" s="123">
        <v>5670.35</v>
      </c>
      <c r="D14" s="122">
        <v>81.21</v>
      </c>
      <c r="E14" s="122">
        <f t="shared" si="0"/>
        <v>9611.57</v>
      </c>
      <c r="F14" s="123">
        <v>24343</v>
      </c>
      <c r="G14" s="122">
        <v>2624.18</v>
      </c>
      <c r="H14" s="122">
        <f t="shared" si="1"/>
        <v>21718.82</v>
      </c>
      <c r="I14" s="133">
        <f t="shared" si="2"/>
        <v>8294.53</v>
      </c>
      <c r="J14" s="123">
        <f t="shared" si="3"/>
        <v>31330.39</v>
      </c>
      <c r="K14" s="124">
        <f t="shared" si="4"/>
        <v>21.094324730211685</v>
      </c>
    </row>
    <row r="15" spans="1:11" ht="13.5">
      <c r="A15" s="115" t="s">
        <v>214</v>
      </c>
      <c r="B15" s="122">
        <v>12644.95</v>
      </c>
      <c r="C15" s="122">
        <v>5354.55</v>
      </c>
      <c r="D15" s="122">
        <v>102.79</v>
      </c>
      <c r="E15" s="123">
        <f t="shared" si="0"/>
        <v>7187.610000000001</v>
      </c>
      <c r="F15" s="122">
        <v>11477.48</v>
      </c>
      <c r="G15" s="122">
        <v>1861.04</v>
      </c>
      <c r="H15" s="123">
        <f t="shared" si="1"/>
        <v>9616.439999999999</v>
      </c>
      <c r="I15" s="134">
        <f t="shared" si="2"/>
        <v>7215.59</v>
      </c>
      <c r="J15" s="123">
        <f t="shared" si="3"/>
        <v>16804.05</v>
      </c>
      <c r="K15" s="124">
        <f t="shared" si="4"/>
        <v>30.33848579931624</v>
      </c>
    </row>
    <row r="16" spans="1:11" ht="13.5">
      <c r="A16" s="115" t="s">
        <v>215</v>
      </c>
      <c r="B16" s="122">
        <v>3363.61</v>
      </c>
      <c r="C16" s="123">
        <v>1567.99</v>
      </c>
      <c r="D16" s="123">
        <v>39.27</v>
      </c>
      <c r="E16" s="122">
        <f t="shared" si="0"/>
        <v>1756.3500000000001</v>
      </c>
      <c r="F16" s="122">
        <v>3176.84</v>
      </c>
      <c r="G16" s="123">
        <v>492.8</v>
      </c>
      <c r="H16" s="123">
        <f t="shared" si="1"/>
        <v>2684.04</v>
      </c>
      <c r="I16" s="133">
        <f t="shared" si="2"/>
        <v>2060.79</v>
      </c>
      <c r="J16" s="123">
        <f t="shared" si="3"/>
        <v>4440.39</v>
      </c>
      <c r="K16" s="124">
        <f t="shared" si="4"/>
        <v>32.1087998532211</v>
      </c>
    </row>
    <row r="17" spans="1:11" ht="13.5">
      <c r="A17" s="115" t="s">
        <v>216</v>
      </c>
      <c r="B17" s="122">
        <v>23.04</v>
      </c>
      <c r="C17" s="123">
        <v>0</v>
      </c>
      <c r="D17" s="123">
        <v>0</v>
      </c>
      <c r="E17" s="122">
        <f>B17-C17-D17</f>
        <v>23.04</v>
      </c>
      <c r="F17" s="122">
        <v>162.48</v>
      </c>
      <c r="G17" s="123">
        <v>0</v>
      </c>
      <c r="H17" s="123">
        <f>F17-G17</f>
        <v>162.48</v>
      </c>
      <c r="I17" s="133">
        <f>C17+G17</f>
        <v>0</v>
      </c>
      <c r="J17" s="123">
        <f>E17+H17</f>
        <v>185.51999999999998</v>
      </c>
      <c r="K17" s="124">
        <f>(C17+D17+G17)/(B17+F17)%</f>
        <v>0</v>
      </c>
    </row>
    <row r="18" spans="1:11" ht="13.5">
      <c r="A18" s="115" t="s">
        <v>217</v>
      </c>
      <c r="B18" s="123">
        <v>1429.4</v>
      </c>
      <c r="C18" s="122">
        <v>1113.51</v>
      </c>
      <c r="D18" s="122">
        <v>12.42</v>
      </c>
      <c r="E18" s="123">
        <f t="shared" si="0"/>
        <v>303.4700000000001</v>
      </c>
      <c r="F18" s="123">
        <v>1210.61</v>
      </c>
      <c r="G18" s="123">
        <v>144</v>
      </c>
      <c r="H18" s="122">
        <f t="shared" si="1"/>
        <v>1066.61</v>
      </c>
      <c r="I18" s="133">
        <f t="shared" si="2"/>
        <v>1257.51</v>
      </c>
      <c r="J18" s="123">
        <f t="shared" si="3"/>
        <v>1370.08</v>
      </c>
      <c r="K18" s="124">
        <f t="shared" si="4"/>
        <v>48.10322688171635</v>
      </c>
    </row>
    <row r="19" spans="1:11" ht="13.5">
      <c r="A19" s="115" t="s">
        <v>218</v>
      </c>
      <c r="B19" s="123">
        <v>179.1</v>
      </c>
      <c r="C19" s="122">
        <v>56.51</v>
      </c>
      <c r="D19" s="122">
        <v>0</v>
      </c>
      <c r="E19" s="123">
        <f>B19-C19-D19</f>
        <v>122.59</v>
      </c>
      <c r="F19" s="123">
        <v>270.7</v>
      </c>
      <c r="G19" s="122">
        <v>0</v>
      </c>
      <c r="H19" s="123">
        <f t="shared" si="1"/>
        <v>270.7</v>
      </c>
      <c r="I19" s="133">
        <f t="shared" si="2"/>
        <v>56.51</v>
      </c>
      <c r="J19" s="123">
        <f t="shared" si="3"/>
        <v>393.28999999999996</v>
      </c>
      <c r="K19" s="124">
        <f t="shared" si="4"/>
        <v>12.563361493997334</v>
      </c>
    </row>
    <row r="20" spans="1:11" ht="13.5">
      <c r="A20" s="115" t="s">
        <v>219</v>
      </c>
      <c r="B20" s="123">
        <v>1901.55</v>
      </c>
      <c r="C20" s="122">
        <v>512.83</v>
      </c>
      <c r="D20" s="122">
        <v>5.11</v>
      </c>
      <c r="E20" s="123">
        <f t="shared" si="0"/>
        <v>1383.61</v>
      </c>
      <c r="F20" s="122">
        <f>1849.58+370</f>
        <v>2219.58</v>
      </c>
      <c r="G20" s="123">
        <v>35.04</v>
      </c>
      <c r="H20" s="122">
        <f t="shared" si="1"/>
        <v>2184.54</v>
      </c>
      <c r="I20" s="133">
        <f t="shared" si="2"/>
        <v>547.87</v>
      </c>
      <c r="J20" s="123">
        <f t="shared" si="3"/>
        <v>3568.1499999999996</v>
      </c>
      <c r="K20" s="124">
        <f t="shared" si="4"/>
        <v>13.4181644354825</v>
      </c>
    </row>
    <row r="21" spans="1:11" ht="13.5">
      <c r="A21" s="115" t="s">
        <v>220</v>
      </c>
      <c r="B21" s="123">
        <v>347.19</v>
      </c>
      <c r="C21" s="123">
        <v>179.5</v>
      </c>
      <c r="D21" s="122">
        <v>3.12</v>
      </c>
      <c r="E21" s="123">
        <f t="shared" si="0"/>
        <v>164.57</v>
      </c>
      <c r="F21" s="123">
        <v>280.9</v>
      </c>
      <c r="G21" s="123">
        <v>0</v>
      </c>
      <c r="H21" s="123">
        <f t="shared" si="1"/>
        <v>280.9</v>
      </c>
      <c r="I21" s="134">
        <f t="shared" si="2"/>
        <v>179.5</v>
      </c>
      <c r="J21" s="123">
        <f t="shared" si="3"/>
        <v>445.46999999999997</v>
      </c>
      <c r="K21" s="124">
        <f t="shared" si="4"/>
        <v>29.075450970402336</v>
      </c>
    </row>
    <row r="22" spans="1:11" ht="13.5">
      <c r="A22" s="115" t="s">
        <v>221</v>
      </c>
      <c r="B22" s="122">
        <v>61001.17</v>
      </c>
      <c r="C22" s="122">
        <v>30812.13</v>
      </c>
      <c r="D22" s="122">
        <v>517.15</v>
      </c>
      <c r="E22" s="123">
        <f t="shared" si="0"/>
        <v>29671.889999999996</v>
      </c>
      <c r="F22" s="122">
        <f>49498.24+2951.17</f>
        <v>52449.409999999996</v>
      </c>
      <c r="G22" s="122">
        <f>10400.55+312.98</f>
        <v>10713.529999999999</v>
      </c>
      <c r="H22" s="123">
        <f t="shared" si="1"/>
        <v>41735.88</v>
      </c>
      <c r="I22" s="133">
        <f t="shared" si="2"/>
        <v>41525.66</v>
      </c>
      <c r="J22" s="123">
        <f t="shared" si="3"/>
        <v>71407.76999999999</v>
      </c>
      <c r="K22" s="124">
        <f t="shared" si="4"/>
        <v>37.05825919973261</v>
      </c>
    </row>
    <row r="23" spans="1:11" ht="13.5">
      <c r="A23" s="115" t="s">
        <v>222</v>
      </c>
      <c r="B23" s="122">
        <v>6034.51</v>
      </c>
      <c r="C23" s="122">
        <v>2960.62</v>
      </c>
      <c r="D23" s="123">
        <v>41.79</v>
      </c>
      <c r="E23" s="123">
        <f t="shared" si="0"/>
        <v>3032.1000000000004</v>
      </c>
      <c r="F23" s="122">
        <f>3989.66+350</f>
        <v>4339.66</v>
      </c>
      <c r="G23" s="122">
        <f>136.85+50</f>
        <v>186.85</v>
      </c>
      <c r="H23" s="122">
        <f t="shared" si="1"/>
        <v>4152.8099999999995</v>
      </c>
      <c r="I23" s="133">
        <f t="shared" si="2"/>
        <v>3147.47</v>
      </c>
      <c r="J23" s="123">
        <f t="shared" si="3"/>
        <v>7184.91</v>
      </c>
      <c r="K23" s="124">
        <f t="shared" si="4"/>
        <v>30.742314806871295</v>
      </c>
    </row>
    <row r="24" spans="1:11" ht="13.5">
      <c r="A24" s="115" t="s">
        <v>223</v>
      </c>
      <c r="B24" s="123">
        <v>109.23</v>
      </c>
      <c r="C24" s="122">
        <v>25.44</v>
      </c>
      <c r="D24" s="122">
        <v>0</v>
      </c>
      <c r="E24" s="123">
        <f t="shared" si="0"/>
        <v>83.79</v>
      </c>
      <c r="F24" s="123">
        <f>173.35+8.33</f>
        <v>181.68</v>
      </c>
      <c r="G24" s="123">
        <v>0</v>
      </c>
      <c r="H24" s="123">
        <f t="shared" si="1"/>
        <v>181.68</v>
      </c>
      <c r="I24" s="133">
        <f t="shared" si="2"/>
        <v>25.44</v>
      </c>
      <c r="J24" s="123">
        <f t="shared" si="3"/>
        <v>265.47</v>
      </c>
      <c r="K24" s="124">
        <f t="shared" si="4"/>
        <v>8.744972671960399</v>
      </c>
    </row>
    <row r="25" spans="1:11" ht="13.5">
      <c r="A25" s="115" t="s">
        <v>224</v>
      </c>
      <c r="B25" s="122">
        <v>4871.39</v>
      </c>
      <c r="C25" s="122">
        <v>2148.57</v>
      </c>
      <c r="D25" s="122">
        <v>35.51</v>
      </c>
      <c r="E25" s="122">
        <f>B25-C25-D25</f>
        <v>2687.31</v>
      </c>
      <c r="F25" s="122">
        <f>5490.54+520</f>
        <v>6010.54</v>
      </c>
      <c r="G25" s="122">
        <v>944.27</v>
      </c>
      <c r="H25" s="122">
        <f t="shared" si="1"/>
        <v>5066.27</v>
      </c>
      <c r="I25" s="133">
        <f t="shared" si="2"/>
        <v>3092.84</v>
      </c>
      <c r="J25" s="123">
        <f t="shared" si="3"/>
        <v>7753.58</v>
      </c>
      <c r="K25" s="124">
        <f t="shared" si="4"/>
        <v>28.748117291693664</v>
      </c>
    </row>
    <row r="26" spans="1:11" ht="14.25" thickBot="1">
      <c r="A26" s="147" t="s">
        <v>234</v>
      </c>
      <c r="B26" s="126">
        <f aca="true" t="shared" si="5" ref="B26:H26">SUM(B4:B25)</f>
        <v>126436.11999999998</v>
      </c>
      <c r="C26" s="126">
        <f t="shared" si="5"/>
        <v>58474.97</v>
      </c>
      <c r="D26" s="125">
        <f t="shared" si="5"/>
        <v>961.65</v>
      </c>
      <c r="E26" s="126">
        <f t="shared" si="5"/>
        <v>66999.5</v>
      </c>
      <c r="F26" s="125">
        <f t="shared" si="5"/>
        <v>126260.80999999998</v>
      </c>
      <c r="G26" s="125">
        <f t="shared" si="5"/>
        <v>20414.35</v>
      </c>
      <c r="H26" s="126">
        <f t="shared" si="5"/>
        <v>105846.46</v>
      </c>
      <c r="I26" s="125">
        <f t="shared" si="2"/>
        <v>78889.32</v>
      </c>
      <c r="J26" s="149">
        <f t="shared" si="3"/>
        <v>172845.96000000002</v>
      </c>
      <c r="K26" s="150">
        <f t="shared" si="4"/>
        <v>31.599501426471626</v>
      </c>
    </row>
    <row r="27" spans="1:11" ht="14.25" thickTop="1">
      <c r="A27" s="153"/>
      <c r="B27" s="140"/>
      <c r="C27" s="140"/>
      <c r="D27" s="118"/>
      <c r="E27" s="140"/>
      <c r="F27" s="118"/>
      <c r="G27" s="118"/>
      <c r="H27" s="118"/>
      <c r="I27" s="118"/>
      <c r="J27" s="154"/>
      <c r="K27" s="154"/>
    </row>
    <row r="28" spans="1:11" ht="13.5">
      <c r="A28" s="153"/>
      <c r="B28" s="140"/>
      <c r="C28" s="140"/>
      <c r="D28" s="118"/>
      <c r="E28" s="140"/>
      <c r="F28" s="118"/>
      <c r="G28" s="118"/>
      <c r="H28" s="118"/>
      <c r="I28" s="118"/>
      <c r="J28" s="154"/>
      <c r="K28" s="154"/>
    </row>
    <row r="30" spans="1:3" ht="13.5" thickBot="1">
      <c r="A30" s="152" t="s">
        <v>235</v>
      </c>
      <c r="B30" s="151"/>
      <c r="C30" s="151"/>
    </row>
    <row r="31" spans="1:11" ht="54.75" thickTop="1">
      <c r="A31" s="119" t="s">
        <v>189</v>
      </c>
      <c r="B31" s="120" t="s">
        <v>188</v>
      </c>
      <c r="C31" s="120" t="s">
        <v>186</v>
      </c>
      <c r="D31" s="120" t="s">
        <v>190</v>
      </c>
      <c r="E31" s="120" t="s">
        <v>191</v>
      </c>
      <c r="F31" s="120" t="s">
        <v>192</v>
      </c>
      <c r="G31" s="120" t="s">
        <v>193</v>
      </c>
      <c r="H31" s="120" t="s">
        <v>194</v>
      </c>
      <c r="I31" s="120" t="s">
        <v>195</v>
      </c>
      <c r="J31" s="120" t="s">
        <v>196</v>
      </c>
      <c r="K31" s="121" t="s">
        <v>198</v>
      </c>
    </row>
    <row r="32" spans="1:11" ht="13.5">
      <c r="A32" s="115" t="s">
        <v>203</v>
      </c>
      <c r="B32" s="122">
        <v>125.04</v>
      </c>
      <c r="C32" s="123">
        <v>0</v>
      </c>
      <c r="D32" s="123">
        <v>0</v>
      </c>
      <c r="E32" s="122">
        <f aca="true" t="shared" si="6" ref="E32:E52">B32-C32-D32</f>
        <v>125.04</v>
      </c>
      <c r="F32" s="122">
        <v>344.28</v>
      </c>
      <c r="G32" s="123">
        <v>0</v>
      </c>
      <c r="H32" s="122">
        <f aca="true" t="shared" si="7" ref="H32:H53">F32-G32</f>
        <v>344.28</v>
      </c>
      <c r="I32" s="134">
        <f aca="true" t="shared" si="8" ref="I32:I54">C32+G32</f>
        <v>0</v>
      </c>
      <c r="J32" s="123">
        <f aca="true" t="shared" si="9" ref="J32:J54">E32+H32</f>
        <v>469.32</v>
      </c>
      <c r="K32" s="124">
        <f aca="true" t="shared" si="10" ref="K32:K54">(C32+D32+G32)/(B32+F32)%</f>
        <v>0</v>
      </c>
    </row>
    <row r="33" spans="1:11" ht="13.5">
      <c r="A33" s="115" t="s">
        <v>204</v>
      </c>
      <c r="B33" s="123">
        <v>182.9</v>
      </c>
      <c r="C33" s="123">
        <v>182.9</v>
      </c>
      <c r="D33" s="123">
        <v>0</v>
      </c>
      <c r="E33" s="123">
        <f t="shared" si="6"/>
        <v>0</v>
      </c>
      <c r="F33" s="123">
        <v>0</v>
      </c>
      <c r="G33" s="123">
        <v>0</v>
      </c>
      <c r="H33" s="123">
        <f t="shared" si="7"/>
        <v>0</v>
      </c>
      <c r="I33" s="134">
        <f t="shared" si="8"/>
        <v>182.9</v>
      </c>
      <c r="J33" s="123">
        <f t="shared" si="9"/>
        <v>0</v>
      </c>
      <c r="K33" s="124">
        <f t="shared" si="10"/>
        <v>100</v>
      </c>
    </row>
    <row r="34" spans="1:11" ht="13.5">
      <c r="A34" s="115" t="s">
        <v>205</v>
      </c>
      <c r="B34" s="123">
        <v>2441</v>
      </c>
      <c r="C34" s="123">
        <v>38</v>
      </c>
      <c r="D34" s="123">
        <v>2</v>
      </c>
      <c r="E34" s="123">
        <f t="shared" si="6"/>
        <v>2401</v>
      </c>
      <c r="F34" s="122">
        <v>4700.17</v>
      </c>
      <c r="G34" s="123">
        <v>80</v>
      </c>
      <c r="H34" s="122">
        <f t="shared" si="7"/>
        <v>4620.17</v>
      </c>
      <c r="I34" s="134">
        <f t="shared" si="8"/>
        <v>118</v>
      </c>
      <c r="J34" s="123">
        <f t="shared" si="9"/>
        <v>7021.17</v>
      </c>
      <c r="K34" s="124">
        <f t="shared" si="10"/>
        <v>1.680396909750083</v>
      </c>
    </row>
    <row r="35" spans="1:11" ht="13.5">
      <c r="A35" s="115" t="s">
        <v>206</v>
      </c>
      <c r="B35" s="123">
        <v>32</v>
      </c>
      <c r="C35" s="123">
        <v>11.4</v>
      </c>
      <c r="D35" s="123">
        <v>0.6</v>
      </c>
      <c r="E35" s="123">
        <f t="shared" si="6"/>
        <v>20</v>
      </c>
      <c r="F35" s="122">
        <v>52.38</v>
      </c>
      <c r="G35" s="122">
        <v>12.38</v>
      </c>
      <c r="H35" s="123">
        <f t="shared" si="7"/>
        <v>40</v>
      </c>
      <c r="I35" s="133">
        <f t="shared" si="8"/>
        <v>23.78</v>
      </c>
      <c r="J35" s="123">
        <f t="shared" si="9"/>
        <v>60</v>
      </c>
      <c r="K35" s="124">
        <f t="shared" si="10"/>
        <v>28.893102630955205</v>
      </c>
    </row>
    <row r="36" spans="1:11" ht="13.5">
      <c r="A36" s="115" t="s">
        <v>207</v>
      </c>
      <c r="B36" s="123">
        <v>0</v>
      </c>
      <c r="C36" s="123">
        <v>0</v>
      </c>
      <c r="D36" s="123">
        <v>0</v>
      </c>
      <c r="E36" s="123">
        <f t="shared" si="6"/>
        <v>0</v>
      </c>
      <c r="F36" s="123">
        <f>491.24+1192.06</f>
        <v>1683.3</v>
      </c>
      <c r="G36" s="123">
        <v>0</v>
      </c>
      <c r="H36" s="123">
        <f t="shared" si="7"/>
        <v>1683.3</v>
      </c>
      <c r="I36" s="134">
        <f t="shared" si="8"/>
        <v>0</v>
      </c>
      <c r="J36" s="123">
        <f t="shared" si="9"/>
        <v>1683.3</v>
      </c>
      <c r="K36" s="124">
        <f t="shared" si="10"/>
        <v>0</v>
      </c>
    </row>
    <row r="37" spans="1:11" ht="13.5">
      <c r="A37" s="115" t="s">
        <v>208</v>
      </c>
      <c r="B37" s="123">
        <v>0</v>
      </c>
      <c r="C37" s="123">
        <v>0</v>
      </c>
      <c r="D37" s="123">
        <v>0</v>
      </c>
      <c r="E37" s="123">
        <f>B37-C37-D37</f>
        <v>0</v>
      </c>
      <c r="F37" s="123">
        <v>0</v>
      </c>
      <c r="G37" s="123">
        <v>0</v>
      </c>
      <c r="H37" s="123">
        <f>F37-G37</f>
        <v>0</v>
      </c>
      <c r="I37" s="134">
        <f>C37+G37</f>
        <v>0</v>
      </c>
      <c r="J37" s="123">
        <f>E37+H37</f>
        <v>0</v>
      </c>
      <c r="K37" s="124">
        <v>0</v>
      </c>
    </row>
    <row r="38" spans="1:11" ht="13.5">
      <c r="A38" s="115" t="s">
        <v>209</v>
      </c>
      <c r="B38" s="123">
        <v>0</v>
      </c>
      <c r="C38" s="123">
        <v>0</v>
      </c>
      <c r="D38" s="123">
        <v>0</v>
      </c>
      <c r="E38" s="123">
        <f>B38-C38-D38</f>
        <v>0</v>
      </c>
      <c r="F38" s="123">
        <v>0</v>
      </c>
      <c r="G38" s="123">
        <v>0</v>
      </c>
      <c r="H38" s="123">
        <f>F38-G38</f>
        <v>0</v>
      </c>
      <c r="I38" s="134">
        <f>C38+G38</f>
        <v>0</v>
      </c>
      <c r="J38" s="123">
        <f>E38+H38</f>
        <v>0</v>
      </c>
      <c r="K38" s="124">
        <v>0</v>
      </c>
    </row>
    <row r="39" spans="1:11" ht="13.5">
      <c r="A39" s="115" t="s">
        <v>210</v>
      </c>
      <c r="B39" s="122">
        <v>201.43</v>
      </c>
      <c r="C39" s="123">
        <v>140</v>
      </c>
      <c r="D39" s="123">
        <v>0</v>
      </c>
      <c r="E39" s="123">
        <f t="shared" si="6"/>
        <v>61.43000000000001</v>
      </c>
      <c r="F39" s="123">
        <v>0</v>
      </c>
      <c r="G39" s="123">
        <v>0</v>
      </c>
      <c r="H39" s="123">
        <f t="shared" si="7"/>
        <v>0</v>
      </c>
      <c r="I39" s="134">
        <f t="shared" si="8"/>
        <v>140</v>
      </c>
      <c r="J39" s="123">
        <f t="shared" si="9"/>
        <v>61.43000000000001</v>
      </c>
      <c r="K39" s="124">
        <f t="shared" si="10"/>
        <v>69.50305316983568</v>
      </c>
    </row>
    <row r="40" spans="1:11" ht="13.5">
      <c r="A40" s="115" t="s">
        <v>236</v>
      </c>
      <c r="B40" s="123">
        <v>0</v>
      </c>
      <c r="C40" s="123">
        <v>0</v>
      </c>
      <c r="D40" s="123">
        <v>0</v>
      </c>
      <c r="E40" s="123">
        <f t="shared" si="6"/>
        <v>0</v>
      </c>
      <c r="F40" s="123">
        <v>0</v>
      </c>
      <c r="G40" s="123">
        <v>0</v>
      </c>
      <c r="H40" s="123">
        <f t="shared" si="7"/>
        <v>0</v>
      </c>
      <c r="I40" s="134">
        <f t="shared" si="8"/>
        <v>0</v>
      </c>
      <c r="J40" s="123">
        <f t="shared" si="9"/>
        <v>0</v>
      </c>
      <c r="K40" s="124">
        <v>0</v>
      </c>
    </row>
    <row r="41" spans="1:11" ht="13.5">
      <c r="A41" s="115" t="s">
        <v>212</v>
      </c>
      <c r="B41" s="123">
        <v>0</v>
      </c>
      <c r="C41" s="123">
        <v>0</v>
      </c>
      <c r="D41" s="123">
        <v>0</v>
      </c>
      <c r="E41" s="123">
        <f t="shared" si="6"/>
        <v>0</v>
      </c>
      <c r="F41" s="123">
        <v>0</v>
      </c>
      <c r="G41" s="123">
        <v>0</v>
      </c>
      <c r="H41" s="123">
        <f t="shared" si="7"/>
        <v>0</v>
      </c>
      <c r="I41" s="134">
        <f t="shared" si="8"/>
        <v>0</v>
      </c>
      <c r="J41" s="123">
        <f t="shared" si="9"/>
        <v>0</v>
      </c>
      <c r="K41" s="124">
        <v>0</v>
      </c>
    </row>
    <row r="42" spans="1:11" ht="13.5">
      <c r="A42" s="115" t="s">
        <v>213</v>
      </c>
      <c r="B42" s="123">
        <v>661.8</v>
      </c>
      <c r="C42" s="123">
        <v>476.16</v>
      </c>
      <c r="D42" s="122">
        <v>18.74</v>
      </c>
      <c r="E42" s="123">
        <f t="shared" si="6"/>
        <v>166.89999999999992</v>
      </c>
      <c r="F42" s="123">
        <v>296.12</v>
      </c>
      <c r="G42" s="123">
        <v>0</v>
      </c>
      <c r="H42" s="122">
        <f t="shared" si="7"/>
        <v>296.12</v>
      </c>
      <c r="I42" s="133">
        <f t="shared" si="8"/>
        <v>476.16</v>
      </c>
      <c r="J42" s="123">
        <f t="shared" si="9"/>
        <v>463.0199999999999</v>
      </c>
      <c r="K42" s="124">
        <f t="shared" si="10"/>
        <v>51.664022047770175</v>
      </c>
    </row>
    <row r="43" spans="1:11" ht="13.5">
      <c r="A43" s="115" t="s">
        <v>214</v>
      </c>
      <c r="B43" s="122">
        <v>2459.78</v>
      </c>
      <c r="C43" s="123">
        <v>1088.8</v>
      </c>
      <c r="D43" s="122">
        <v>0</v>
      </c>
      <c r="E43" s="123">
        <f t="shared" si="6"/>
        <v>1370.9800000000002</v>
      </c>
      <c r="F43" s="122">
        <f>1884.39+25</f>
        <v>1909.39</v>
      </c>
      <c r="G43" s="123">
        <f>973.8+25</f>
        <v>998.8</v>
      </c>
      <c r="H43" s="123">
        <f t="shared" si="7"/>
        <v>910.5900000000001</v>
      </c>
      <c r="I43" s="134">
        <f t="shared" si="8"/>
        <v>2087.6</v>
      </c>
      <c r="J43" s="123">
        <f t="shared" si="9"/>
        <v>2281.5700000000006</v>
      </c>
      <c r="K43" s="124">
        <f t="shared" si="10"/>
        <v>47.78024201392942</v>
      </c>
    </row>
    <row r="44" spans="1:11" ht="13.5">
      <c r="A44" s="115" t="s">
        <v>215</v>
      </c>
      <c r="B44" s="122">
        <v>674.46</v>
      </c>
      <c r="C44" s="123">
        <v>595.92</v>
      </c>
      <c r="D44" s="123">
        <v>31.36</v>
      </c>
      <c r="E44" s="122">
        <f t="shared" si="6"/>
        <v>47.18000000000008</v>
      </c>
      <c r="F44" s="123">
        <v>0</v>
      </c>
      <c r="G44" s="123">
        <v>0</v>
      </c>
      <c r="H44" s="123">
        <f t="shared" si="7"/>
        <v>0</v>
      </c>
      <c r="I44" s="133">
        <f t="shared" si="8"/>
        <v>595.92</v>
      </c>
      <c r="J44" s="123">
        <f t="shared" si="9"/>
        <v>47.18000000000008</v>
      </c>
      <c r="K44" s="124">
        <f t="shared" si="10"/>
        <v>93.00477418972214</v>
      </c>
    </row>
    <row r="45" spans="1:11" ht="13.5">
      <c r="A45" s="115" t="s">
        <v>216</v>
      </c>
      <c r="B45" s="123">
        <v>0</v>
      </c>
      <c r="C45" s="123">
        <v>0</v>
      </c>
      <c r="D45" s="123">
        <v>0</v>
      </c>
      <c r="E45" s="123">
        <f>B45-C45-D45</f>
        <v>0</v>
      </c>
      <c r="F45" s="123">
        <v>0</v>
      </c>
      <c r="G45" s="123">
        <v>0</v>
      </c>
      <c r="H45" s="123">
        <f>F45-G45</f>
        <v>0</v>
      </c>
      <c r="I45" s="134">
        <f>C45+G45</f>
        <v>0</v>
      </c>
      <c r="J45" s="123">
        <f>E45+H45</f>
        <v>0</v>
      </c>
      <c r="K45" s="124">
        <v>0</v>
      </c>
    </row>
    <row r="46" spans="1:11" ht="13.5">
      <c r="A46" s="115" t="s">
        <v>217</v>
      </c>
      <c r="B46" s="123">
        <v>0</v>
      </c>
      <c r="C46" s="123">
        <v>0</v>
      </c>
      <c r="D46" s="123">
        <v>0</v>
      </c>
      <c r="E46" s="123">
        <f>B46-C46-D46</f>
        <v>0</v>
      </c>
      <c r="F46" s="123">
        <v>0</v>
      </c>
      <c r="G46" s="123">
        <v>0</v>
      </c>
      <c r="H46" s="123">
        <f>F46-G46</f>
        <v>0</v>
      </c>
      <c r="I46" s="134">
        <f>C46+G46</f>
        <v>0</v>
      </c>
      <c r="J46" s="123">
        <f>E46+H46</f>
        <v>0</v>
      </c>
      <c r="K46" s="124">
        <v>0</v>
      </c>
    </row>
    <row r="47" spans="1:11" ht="13.5">
      <c r="A47" s="115" t="s">
        <v>218</v>
      </c>
      <c r="B47" s="123">
        <v>152</v>
      </c>
      <c r="C47" s="123">
        <v>0</v>
      </c>
      <c r="D47" s="123">
        <v>0</v>
      </c>
      <c r="E47" s="123">
        <f t="shared" si="6"/>
        <v>152</v>
      </c>
      <c r="F47" s="123">
        <v>0</v>
      </c>
      <c r="G47" s="123">
        <v>0</v>
      </c>
      <c r="H47" s="123">
        <f t="shared" si="7"/>
        <v>0</v>
      </c>
      <c r="I47" s="134">
        <f t="shared" si="8"/>
        <v>0</v>
      </c>
      <c r="J47" s="123">
        <f t="shared" si="9"/>
        <v>152</v>
      </c>
      <c r="K47" s="124">
        <f t="shared" si="10"/>
        <v>0</v>
      </c>
    </row>
    <row r="48" spans="1:11" ht="13.5">
      <c r="A48" s="115" t="s">
        <v>219</v>
      </c>
      <c r="B48" s="123">
        <v>302.85</v>
      </c>
      <c r="C48" s="122">
        <v>25.08</v>
      </c>
      <c r="D48" s="122">
        <v>1.32</v>
      </c>
      <c r="E48" s="123">
        <f t="shared" si="6"/>
        <v>276.45000000000005</v>
      </c>
      <c r="F48" s="123">
        <v>453.8</v>
      </c>
      <c r="G48" s="123">
        <v>0</v>
      </c>
      <c r="H48" s="123">
        <f t="shared" si="7"/>
        <v>453.8</v>
      </c>
      <c r="I48" s="133">
        <f t="shared" si="8"/>
        <v>25.08</v>
      </c>
      <c r="J48" s="123">
        <f t="shared" si="9"/>
        <v>730.25</v>
      </c>
      <c r="K48" s="124">
        <f t="shared" si="10"/>
        <v>3.4890636357629017</v>
      </c>
    </row>
    <row r="49" spans="1:11" ht="13.5">
      <c r="A49" s="115" t="s">
        <v>220</v>
      </c>
      <c r="B49" s="123">
        <v>166.76</v>
      </c>
      <c r="C49" s="123">
        <v>158.42</v>
      </c>
      <c r="D49" s="122">
        <v>8.34</v>
      </c>
      <c r="E49" s="123">
        <f t="shared" si="6"/>
        <v>0</v>
      </c>
      <c r="F49" s="123">
        <v>0</v>
      </c>
      <c r="G49" s="123">
        <v>0</v>
      </c>
      <c r="H49" s="123">
        <f t="shared" si="7"/>
        <v>0</v>
      </c>
      <c r="I49" s="133">
        <f t="shared" si="8"/>
        <v>158.42</v>
      </c>
      <c r="J49" s="123">
        <f t="shared" si="9"/>
        <v>0</v>
      </c>
      <c r="K49" s="124">
        <f t="shared" si="10"/>
        <v>100</v>
      </c>
    </row>
    <row r="50" spans="1:11" ht="13.5">
      <c r="A50" s="115" t="s">
        <v>221</v>
      </c>
      <c r="B50" s="122">
        <v>28530.99</v>
      </c>
      <c r="C50" s="122">
        <v>14515.71</v>
      </c>
      <c r="D50" s="122">
        <v>367.08</v>
      </c>
      <c r="E50" s="123">
        <f t="shared" si="6"/>
        <v>13648.200000000003</v>
      </c>
      <c r="F50" s="122">
        <f>32800.35+5162.5</f>
        <v>37962.85</v>
      </c>
      <c r="G50" s="122">
        <f>3843.91+427.5+4632.47</f>
        <v>8903.880000000001</v>
      </c>
      <c r="H50" s="123">
        <f t="shared" si="7"/>
        <v>29058.969999999998</v>
      </c>
      <c r="I50" s="133">
        <f t="shared" si="8"/>
        <v>23419.59</v>
      </c>
      <c r="J50" s="123">
        <f t="shared" si="9"/>
        <v>42707.17</v>
      </c>
      <c r="K50" s="124">
        <f t="shared" si="10"/>
        <v>35.77274225702711</v>
      </c>
    </row>
    <row r="51" spans="1:11" ht="13.5">
      <c r="A51" s="115" t="s">
        <v>222</v>
      </c>
      <c r="B51" s="122">
        <v>1461.67</v>
      </c>
      <c r="C51" s="123">
        <v>1158.9</v>
      </c>
      <c r="D51" s="123">
        <v>6.27</v>
      </c>
      <c r="E51" s="123">
        <f t="shared" si="6"/>
        <v>296.5</v>
      </c>
      <c r="F51" s="123">
        <v>0</v>
      </c>
      <c r="G51" s="123">
        <v>0</v>
      </c>
      <c r="H51" s="123">
        <f t="shared" si="7"/>
        <v>0</v>
      </c>
      <c r="I51" s="133">
        <f t="shared" si="8"/>
        <v>1158.9</v>
      </c>
      <c r="J51" s="123">
        <f t="shared" si="9"/>
        <v>296.5</v>
      </c>
      <c r="K51" s="124">
        <f t="shared" si="10"/>
        <v>79.71498354621768</v>
      </c>
    </row>
    <row r="52" spans="1:11" ht="13.5">
      <c r="A52" s="115" t="s">
        <v>223</v>
      </c>
      <c r="B52" s="123">
        <v>0</v>
      </c>
      <c r="C52" s="123">
        <v>0</v>
      </c>
      <c r="D52" s="123">
        <v>0</v>
      </c>
      <c r="E52" s="123">
        <f t="shared" si="6"/>
        <v>0</v>
      </c>
      <c r="F52" s="123">
        <v>0</v>
      </c>
      <c r="G52" s="123">
        <v>0</v>
      </c>
      <c r="H52" s="123">
        <f t="shared" si="7"/>
        <v>0</v>
      </c>
      <c r="I52" s="134">
        <f t="shared" si="8"/>
        <v>0</v>
      </c>
      <c r="J52" s="123">
        <f t="shared" si="9"/>
        <v>0</v>
      </c>
      <c r="K52" s="124">
        <v>0</v>
      </c>
    </row>
    <row r="53" spans="1:11" ht="13.5">
      <c r="A53" s="115" t="s">
        <v>224</v>
      </c>
      <c r="B53" s="122">
        <v>297.16</v>
      </c>
      <c r="C53" s="123">
        <v>54.6</v>
      </c>
      <c r="D53" s="123">
        <v>0</v>
      </c>
      <c r="E53" s="122">
        <f>B53-C53-D53</f>
        <v>242.56000000000003</v>
      </c>
      <c r="F53" s="123">
        <v>100</v>
      </c>
      <c r="G53" s="123">
        <v>0</v>
      </c>
      <c r="H53" s="123">
        <f t="shared" si="7"/>
        <v>100</v>
      </c>
      <c r="I53" s="134">
        <f t="shared" si="8"/>
        <v>54.6</v>
      </c>
      <c r="J53" s="123">
        <f t="shared" si="9"/>
        <v>342.56000000000006</v>
      </c>
      <c r="K53" s="124">
        <f t="shared" si="10"/>
        <v>13.747608016920132</v>
      </c>
    </row>
    <row r="54" spans="1:11" ht="14.25" thickBot="1">
      <c r="A54" s="147" t="s">
        <v>234</v>
      </c>
      <c r="B54" s="126">
        <f aca="true" t="shared" si="11" ref="B54:H54">SUM(B32:B53)</f>
        <v>37689.840000000004</v>
      </c>
      <c r="C54" s="126">
        <f t="shared" si="11"/>
        <v>18445.89</v>
      </c>
      <c r="D54" s="125">
        <f t="shared" si="11"/>
        <v>435.71</v>
      </c>
      <c r="E54" s="126">
        <f t="shared" si="11"/>
        <v>18808.240000000005</v>
      </c>
      <c r="F54" s="125">
        <f t="shared" si="11"/>
        <v>47502.28999999999</v>
      </c>
      <c r="G54" s="125">
        <f t="shared" si="11"/>
        <v>9995.060000000001</v>
      </c>
      <c r="H54" s="125">
        <f t="shared" si="11"/>
        <v>37507.229999999996</v>
      </c>
      <c r="I54" s="125">
        <f t="shared" si="8"/>
        <v>28440.95</v>
      </c>
      <c r="J54" s="149">
        <f t="shared" si="9"/>
        <v>56315.47</v>
      </c>
      <c r="K54" s="150">
        <f t="shared" si="10"/>
        <v>33.89592442400489</v>
      </c>
    </row>
    <row r="55" ht="13.5" thickTop="1"/>
    <row r="58" ht="19.5" customHeight="1">
      <c r="I58" s="148"/>
    </row>
    <row r="59" ht="12.75">
      <c r="I59" s="68"/>
    </row>
    <row r="60" ht="12.75">
      <c r="I60" s="68"/>
    </row>
    <row r="61" ht="12.75">
      <c r="I61" s="68"/>
    </row>
    <row r="62" spans="1:3" ht="13.5" thickBot="1">
      <c r="A62" s="152" t="s">
        <v>238</v>
      </c>
      <c r="B62" s="151"/>
      <c r="C62" s="151"/>
    </row>
    <row r="63" spans="1:11" ht="54.75" thickTop="1">
      <c r="A63" s="119" t="s">
        <v>189</v>
      </c>
      <c r="B63" s="120" t="s">
        <v>188</v>
      </c>
      <c r="C63" s="120" t="s">
        <v>186</v>
      </c>
      <c r="D63" s="120" t="s">
        <v>190</v>
      </c>
      <c r="E63" s="120" t="s">
        <v>191</v>
      </c>
      <c r="F63" s="120" t="s">
        <v>192</v>
      </c>
      <c r="G63" s="120" t="s">
        <v>193</v>
      </c>
      <c r="H63" s="120" t="s">
        <v>194</v>
      </c>
      <c r="I63" s="120" t="s">
        <v>195</v>
      </c>
      <c r="J63" s="120" t="s">
        <v>196</v>
      </c>
      <c r="K63" s="121" t="s">
        <v>198</v>
      </c>
    </row>
    <row r="64" spans="1:11" ht="13.5">
      <c r="A64" s="115" t="s">
        <v>203</v>
      </c>
      <c r="B64" s="122">
        <f>B4+B32</f>
        <v>3481.19</v>
      </c>
      <c r="C64" s="123">
        <f>C4+C32</f>
        <v>1579.82</v>
      </c>
      <c r="D64" s="123">
        <f>D4+D32</f>
        <v>12.26</v>
      </c>
      <c r="E64" s="122">
        <f aca="true" t="shared" si="12" ref="E64:E76">B64-C64-D64</f>
        <v>1889.1100000000001</v>
      </c>
      <c r="F64" s="122">
        <f>F4+F32</f>
        <v>3365.1899999999996</v>
      </c>
      <c r="G64" s="123">
        <f>G4+G32</f>
        <v>463.23</v>
      </c>
      <c r="H64" s="123">
        <f>F64-G64</f>
        <v>2901.9599999999996</v>
      </c>
      <c r="I64" s="134">
        <f>C64+G64</f>
        <v>2043.05</v>
      </c>
      <c r="J64" s="123">
        <f aca="true" t="shared" si="13" ref="J64:J76">E64+H64</f>
        <v>4791.07</v>
      </c>
      <c r="K64" s="124">
        <f aca="true" t="shared" si="14" ref="K64:K76">(C64+D64+G64)/(B64+F64)%</f>
        <v>30.0203903376675</v>
      </c>
    </row>
    <row r="65" spans="1:11" ht="13.5">
      <c r="A65" s="115" t="s">
        <v>204</v>
      </c>
      <c r="B65" s="122">
        <f aca="true" t="shared" si="15" ref="B65:D86">B5+B33</f>
        <v>412.03</v>
      </c>
      <c r="C65" s="123">
        <f t="shared" si="15"/>
        <v>319.28</v>
      </c>
      <c r="D65" s="123">
        <f t="shared" si="15"/>
        <v>2.52</v>
      </c>
      <c r="E65" s="122">
        <f t="shared" si="12"/>
        <v>90.23</v>
      </c>
      <c r="F65" s="122">
        <f aca="true" t="shared" si="16" ref="F65:G85">F5+F33</f>
        <v>356.89</v>
      </c>
      <c r="G65" s="123">
        <f t="shared" si="16"/>
        <v>107</v>
      </c>
      <c r="H65" s="122">
        <f aca="true" t="shared" si="17" ref="H65:H76">F65-G65</f>
        <v>249.89</v>
      </c>
      <c r="I65" s="133">
        <f aca="true" t="shared" si="18" ref="I65:I76">C65+G65</f>
        <v>426.28</v>
      </c>
      <c r="J65" s="123">
        <f t="shared" si="13"/>
        <v>340.12</v>
      </c>
      <c r="K65" s="124">
        <f t="shared" si="14"/>
        <v>55.76652967798991</v>
      </c>
    </row>
    <row r="66" spans="1:11" ht="13.5">
      <c r="A66" s="115" t="s">
        <v>205</v>
      </c>
      <c r="B66" s="122">
        <f t="shared" si="15"/>
        <v>5563.33</v>
      </c>
      <c r="C66" s="123">
        <f t="shared" si="15"/>
        <v>1157.05</v>
      </c>
      <c r="D66" s="123">
        <f t="shared" si="15"/>
        <v>21.91</v>
      </c>
      <c r="E66" s="123">
        <f t="shared" si="12"/>
        <v>4384.37</v>
      </c>
      <c r="F66" s="122">
        <f t="shared" si="16"/>
        <v>7254.29</v>
      </c>
      <c r="G66" s="123">
        <f t="shared" si="16"/>
        <v>601.29</v>
      </c>
      <c r="H66" s="123">
        <f t="shared" si="17"/>
        <v>6653</v>
      </c>
      <c r="I66" s="133">
        <f t="shared" si="18"/>
        <v>1758.34</v>
      </c>
      <c r="J66" s="123">
        <f t="shared" si="13"/>
        <v>11037.369999999999</v>
      </c>
      <c r="K66" s="124">
        <f t="shared" si="14"/>
        <v>13.88908393289862</v>
      </c>
    </row>
    <row r="67" spans="1:11" ht="13.5">
      <c r="A67" s="115" t="s">
        <v>206</v>
      </c>
      <c r="B67" s="122">
        <f t="shared" si="15"/>
        <v>2698.71</v>
      </c>
      <c r="C67" s="123">
        <f t="shared" si="15"/>
        <v>929.88</v>
      </c>
      <c r="D67" s="123">
        <f t="shared" si="15"/>
        <v>20.66</v>
      </c>
      <c r="E67" s="123">
        <f t="shared" si="12"/>
        <v>1748.1699999999998</v>
      </c>
      <c r="F67" s="122">
        <f t="shared" si="16"/>
        <v>3215.87</v>
      </c>
      <c r="G67" s="123">
        <f t="shared" si="16"/>
        <v>364.71</v>
      </c>
      <c r="H67" s="123">
        <f t="shared" si="17"/>
        <v>2851.16</v>
      </c>
      <c r="I67" s="133">
        <f t="shared" si="18"/>
        <v>1294.59</v>
      </c>
      <c r="J67" s="123">
        <f t="shared" si="13"/>
        <v>4599.33</v>
      </c>
      <c r="K67" s="124">
        <f t="shared" si="14"/>
        <v>22.237420070402294</v>
      </c>
    </row>
    <row r="68" spans="1:11" ht="13.5">
      <c r="A68" s="115" t="s">
        <v>207</v>
      </c>
      <c r="B68" s="122">
        <f t="shared" si="15"/>
        <v>6403.07</v>
      </c>
      <c r="C68" s="123">
        <f t="shared" si="15"/>
        <v>1990.93</v>
      </c>
      <c r="D68" s="123">
        <f t="shared" si="15"/>
        <v>26.15</v>
      </c>
      <c r="E68" s="123">
        <f t="shared" si="12"/>
        <v>4385.99</v>
      </c>
      <c r="F68" s="122">
        <f t="shared" si="16"/>
        <v>10013.88</v>
      </c>
      <c r="G68" s="123">
        <f t="shared" si="16"/>
        <v>909.25</v>
      </c>
      <c r="H68" s="122">
        <f t="shared" si="17"/>
        <v>9104.63</v>
      </c>
      <c r="I68" s="134">
        <f t="shared" si="18"/>
        <v>2900.1800000000003</v>
      </c>
      <c r="J68" s="123">
        <f t="shared" si="13"/>
        <v>13490.619999999999</v>
      </c>
      <c r="K68" s="124">
        <f t="shared" si="14"/>
        <v>17.82505276558679</v>
      </c>
    </row>
    <row r="69" spans="1:11" ht="13.5">
      <c r="A69" s="115" t="s">
        <v>208</v>
      </c>
      <c r="B69" s="122">
        <f t="shared" si="15"/>
        <v>1760.03</v>
      </c>
      <c r="C69" s="123">
        <f t="shared" si="15"/>
        <v>1214.63</v>
      </c>
      <c r="D69" s="123">
        <f t="shared" si="15"/>
        <v>27.75</v>
      </c>
      <c r="E69" s="122">
        <f t="shared" si="12"/>
        <v>517.6499999999999</v>
      </c>
      <c r="F69" s="122">
        <f t="shared" si="16"/>
        <v>823.28</v>
      </c>
      <c r="G69" s="123">
        <f t="shared" si="16"/>
        <v>524.06</v>
      </c>
      <c r="H69" s="123">
        <f t="shared" si="17"/>
        <v>299.22</v>
      </c>
      <c r="I69" s="133">
        <f t="shared" si="18"/>
        <v>1738.69</v>
      </c>
      <c r="J69" s="123">
        <f t="shared" si="13"/>
        <v>816.8699999999999</v>
      </c>
      <c r="K69" s="124">
        <f t="shared" si="14"/>
        <v>68.3789401968792</v>
      </c>
    </row>
    <row r="70" spans="1:11" ht="13.5">
      <c r="A70" s="115" t="s">
        <v>209</v>
      </c>
      <c r="B70" s="122">
        <f t="shared" si="15"/>
        <v>22.75</v>
      </c>
      <c r="C70" s="123">
        <f t="shared" si="15"/>
        <v>21.61</v>
      </c>
      <c r="D70" s="123">
        <f t="shared" si="15"/>
        <v>1.14</v>
      </c>
      <c r="E70" s="123">
        <f t="shared" si="12"/>
        <v>0</v>
      </c>
      <c r="F70" s="122">
        <f t="shared" si="16"/>
        <v>22.75</v>
      </c>
      <c r="G70" s="123">
        <f t="shared" si="16"/>
        <v>22.75</v>
      </c>
      <c r="H70" s="123">
        <f t="shared" si="17"/>
        <v>0</v>
      </c>
      <c r="I70" s="133">
        <f t="shared" si="18"/>
        <v>44.36</v>
      </c>
      <c r="J70" s="123">
        <f t="shared" si="13"/>
        <v>0</v>
      </c>
      <c r="K70" s="124">
        <f t="shared" si="14"/>
        <v>100</v>
      </c>
    </row>
    <row r="71" spans="1:11" ht="13.5">
      <c r="A71" s="115" t="s">
        <v>210</v>
      </c>
      <c r="B71" s="122">
        <f t="shared" si="15"/>
        <v>1708.27</v>
      </c>
      <c r="C71" s="123">
        <f t="shared" si="15"/>
        <v>1196.71</v>
      </c>
      <c r="D71" s="123">
        <f t="shared" si="15"/>
        <v>12.51</v>
      </c>
      <c r="E71" s="123">
        <f t="shared" si="12"/>
        <v>499.04999999999995</v>
      </c>
      <c r="F71" s="122">
        <f t="shared" si="16"/>
        <v>1709.81</v>
      </c>
      <c r="G71" s="123">
        <f t="shared" si="16"/>
        <v>460.73</v>
      </c>
      <c r="H71" s="122">
        <f t="shared" si="17"/>
        <v>1249.08</v>
      </c>
      <c r="I71" s="133">
        <f t="shared" si="18"/>
        <v>1657.44</v>
      </c>
      <c r="J71" s="123">
        <f t="shared" si="13"/>
        <v>1748.1299999999999</v>
      </c>
      <c r="K71" s="124">
        <f t="shared" si="14"/>
        <v>48.85637550905772</v>
      </c>
    </row>
    <row r="72" spans="1:11" ht="13.5">
      <c r="A72" s="115" t="s">
        <v>211</v>
      </c>
      <c r="B72" s="123">
        <f t="shared" si="15"/>
        <v>43.9</v>
      </c>
      <c r="C72" s="123">
        <f t="shared" si="15"/>
        <v>1</v>
      </c>
      <c r="D72" s="123">
        <f t="shared" si="15"/>
        <v>0</v>
      </c>
      <c r="E72" s="123">
        <f t="shared" si="12"/>
        <v>42.9</v>
      </c>
      <c r="F72" s="123">
        <f t="shared" si="16"/>
        <v>46.9</v>
      </c>
      <c r="G72" s="123">
        <f t="shared" si="16"/>
        <v>4</v>
      </c>
      <c r="H72" s="123">
        <f t="shared" si="17"/>
        <v>42.9</v>
      </c>
      <c r="I72" s="134">
        <f t="shared" si="18"/>
        <v>5</v>
      </c>
      <c r="J72" s="123">
        <f t="shared" si="13"/>
        <v>85.8</v>
      </c>
      <c r="K72" s="124">
        <f t="shared" si="14"/>
        <v>5.506607929515419</v>
      </c>
    </row>
    <row r="73" spans="1:11" ht="13.5">
      <c r="A73" s="115" t="s">
        <v>212</v>
      </c>
      <c r="B73" s="122">
        <f t="shared" si="15"/>
        <v>56.94</v>
      </c>
      <c r="C73" s="123">
        <f t="shared" si="15"/>
        <v>34.36</v>
      </c>
      <c r="D73" s="123">
        <f t="shared" si="15"/>
        <v>0.98</v>
      </c>
      <c r="E73" s="123">
        <f t="shared" si="12"/>
        <v>21.599999999999998</v>
      </c>
      <c r="F73" s="123">
        <f t="shared" si="16"/>
        <v>109.2</v>
      </c>
      <c r="G73" s="123">
        <f t="shared" si="16"/>
        <v>48</v>
      </c>
      <c r="H73" s="123">
        <f t="shared" si="17"/>
        <v>61.2</v>
      </c>
      <c r="I73" s="133">
        <f t="shared" si="18"/>
        <v>82.36</v>
      </c>
      <c r="J73" s="123">
        <f t="shared" si="13"/>
        <v>82.8</v>
      </c>
      <c r="K73" s="124">
        <f t="shared" si="14"/>
        <v>50.16251354279524</v>
      </c>
    </row>
    <row r="74" spans="1:11" ht="13.5">
      <c r="A74" s="115" t="s">
        <v>213</v>
      </c>
      <c r="B74" s="122">
        <f t="shared" si="15"/>
        <v>16024.929999999998</v>
      </c>
      <c r="C74" s="123">
        <f t="shared" si="15"/>
        <v>6146.51</v>
      </c>
      <c r="D74" s="123">
        <f t="shared" si="15"/>
        <v>99.94999999999999</v>
      </c>
      <c r="E74" s="122">
        <f t="shared" si="12"/>
        <v>9778.469999999998</v>
      </c>
      <c r="F74" s="122">
        <f t="shared" si="16"/>
        <v>24639.12</v>
      </c>
      <c r="G74" s="123">
        <f t="shared" si="16"/>
        <v>2624.18</v>
      </c>
      <c r="H74" s="122">
        <f t="shared" si="17"/>
        <v>22014.94</v>
      </c>
      <c r="I74" s="133">
        <f t="shared" si="18"/>
        <v>8770.69</v>
      </c>
      <c r="J74" s="123">
        <f t="shared" si="13"/>
        <v>31793.409999999996</v>
      </c>
      <c r="K74" s="124">
        <f t="shared" si="14"/>
        <v>21.814452815201633</v>
      </c>
    </row>
    <row r="75" spans="1:11" ht="13.5">
      <c r="A75" s="115" t="s">
        <v>214</v>
      </c>
      <c r="B75" s="122">
        <f t="shared" si="15"/>
        <v>15104.730000000001</v>
      </c>
      <c r="C75" s="123">
        <f t="shared" si="15"/>
        <v>6443.35</v>
      </c>
      <c r="D75" s="123">
        <f t="shared" si="15"/>
        <v>102.79</v>
      </c>
      <c r="E75" s="123">
        <f t="shared" si="12"/>
        <v>8558.59</v>
      </c>
      <c r="F75" s="122">
        <f t="shared" si="16"/>
        <v>13386.869999999999</v>
      </c>
      <c r="G75" s="123">
        <f t="shared" si="16"/>
        <v>2859.84</v>
      </c>
      <c r="H75" s="123">
        <f t="shared" si="17"/>
        <v>10527.029999999999</v>
      </c>
      <c r="I75" s="134">
        <f t="shared" si="18"/>
        <v>9303.19</v>
      </c>
      <c r="J75" s="123">
        <f t="shared" si="13"/>
        <v>19085.62</v>
      </c>
      <c r="K75" s="124">
        <f t="shared" si="14"/>
        <v>33.013168793609346</v>
      </c>
    </row>
    <row r="76" spans="1:11" ht="13.5">
      <c r="A76" s="115" t="s">
        <v>215</v>
      </c>
      <c r="B76" s="122">
        <f t="shared" si="15"/>
        <v>4038.07</v>
      </c>
      <c r="C76" s="123">
        <f t="shared" si="15"/>
        <v>2163.91</v>
      </c>
      <c r="D76" s="123">
        <f t="shared" si="15"/>
        <v>70.63</v>
      </c>
      <c r="E76" s="122">
        <f t="shared" si="12"/>
        <v>1803.5300000000002</v>
      </c>
      <c r="F76" s="122">
        <f t="shared" si="16"/>
        <v>3176.84</v>
      </c>
      <c r="G76" s="123">
        <f t="shared" si="16"/>
        <v>492.8</v>
      </c>
      <c r="H76" s="123">
        <f t="shared" si="17"/>
        <v>2684.04</v>
      </c>
      <c r="I76" s="133">
        <f t="shared" si="18"/>
        <v>2656.71</v>
      </c>
      <c r="J76" s="123">
        <f t="shared" si="13"/>
        <v>4487.57</v>
      </c>
      <c r="K76" s="124">
        <f t="shared" si="14"/>
        <v>37.80144173662596</v>
      </c>
    </row>
    <row r="77" spans="1:11" ht="13.5">
      <c r="A77" s="115" t="s">
        <v>216</v>
      </c>
      <c r="B77" s="122">
        <f t="shared" si="15"/>
        <v>23.04</v>
      </c>
      <c r="C77" s="123">
        <f t="shared" si="15"/>
        <v>0</v>
      </c>
      <c r="D77" s="123">
        <f t="shared" si="15"/>
        <v>0</v>
      </c>
      <c r="E77" s="122">
        <f aca="true" t="shared" si="19" ref="E77:E85">B77-C77-D77</f>
        <v>23.04</v>
      </c>
      <c r="F77" s="122">
        <f t="shared" si="16"/>
        <v>162.48</v>
      </c>
      <c r="G77" s="123">
        <f t="shared" si="16"/>
        <v>0</v>
      </c>
      <c r="H77" s="123">
        <f>F77-G77</f>
        <v>162.48</v>
      </c>
      <c r="I77" s="134">
        <f>C77+G77</f>
        <v>0</v>
      </c>
      <c r="J77" s="123">
        <f>E77+H77</f>
        <v>185.51999999999998</v>
      </c>
      <c r="K77" s="124">
        <f>(C77+D77+G77)/(B77+F77)%</f>
        <v>0</v>
      </c>
    </row>
    <row r="78" spans="1:11" ht="13.5">
      <c r="A78" s="115" t="s">
        <v>217</v>
      </c>
      <c r="B78" s="123">
        <f t="shared" si="15"/>
        <v>1429.4</v>
      </c>
      <c r="C78" s="123">
        <f t="shared" si="15"/>
        <v>1113.51</v>
      </c>
      <c r="D78" s="123">
        <f t="shared" si="15"/>
        <v>12.42</v>
      </c>
      <c r="E78" s="123">
        <f t="shared" si="19"/>
        <v>303.4700000000001</v>
      </c>
      <c r="F78" s="122">
        <f t="shared" si="16"/>
        <v>1210.61</v>
      </c>
      <c r="G78" s="123">
        <f t="shared" si="16"/>
        <v>144</v>
      </c>
      <c r="H78" s="122">
        <f aca="true" t="shared" si="20" ref="H78:H85">F78-G78</f>
        <v>1066.61</v>
      </c>
      <c r="I78" s="133">
        <f aca="true" t="shared" si="21" ref="I78:I86">C78+G78</f>
        <v>1257.51</v>
      </c>
      <c r="J78" s="123">
        <f aca="true" t="shared" si="22" ref="J78:J86">E78+H78</f>
        <v>1370.08</v>
      </c>
      <c r="K78" s="124">
        <f aca="true" t="shared" si="23" ref="K78:K86">(C78+D78+G78)/(B78+F78)%</f>
        <v>48.10322688171635</v>
      </c>
    </row>
    <row r="79" spans="1:11" ht="13.5">
      <c r="A79" s="115" t="s">
        <v>218</v>
      </c>
      <c r="B79" s="123">
        <f t="shared" si="15"/>
        <v>331.1</v>
      </c>
      <c r="C79" s="123">
        <f t="shared" si="15"/>
        <v>56.51</v>
      </c>
      <c r="D79" s="123">
        <f t="shared" si="15"/>
        <v>0</v>
      </c>
      <c r="E79" s="123">
        <f t="shared" si="19"/>
        <v>274.59000000000003</v>
      </c>
      <c r="F79" s="123">
        <f t="shared" si="16"/>
        <v>270.7</v>
      </c>
      <c r="G79" s="123">
        <f t="shared" si="16"/>
        <v>0</v>
      </c>
      <c r="H79" s="123">
        <f t="shared" si="20"/>
        <v>270.7</v>
      </c>
      <c r="I79" s="133">
        <f t="shared" si="21"/>
        <v>56.51</v>
      </c>
      <c r="J79" s="123">
        <f t="shared" si="22"/>
        <v>545.29</v>
      </c>
      <c r="K79" s="124">
        <f t="shared" si="23"/>
        <v>9.390162844798937</v>
      </c>
    </row>
    <row r="80" spans="1:11" ht="13.5">
      <c r="A80" s="115" t="s">
        <v>219</v>
      </c>
      <c r="B80" s="123">
        <f t="shared" si="15"/>
        <v>2204.4</v>
      </c>
      <c r="C80" s="123">
        <f t="shared" si="15"/>
        <v>537.9100000000001</v>
      </c>
      <c r="D80" s="123">
        <f t="shared" si="15"/>
        <v>6.430000000000001</v>
      </c>
      <c r="E80" s="123">
        <f t="shared" si="19"/>
        <v>1660.06</v>
      </c>
      <c r="F80" s="122">
        <f t="shared" si="16"/>
        <v>2673.38</v>
      </c>
      <c r="G80" s="123">
        <f t="shared" si="16"/>
        <v>35.04</v>
      </c>
      <c r="H80" s="122">
        <f t="shared" si="20"/>
        <v>2638.34</v>
      </c>
      <c r="I80" s="133">
        <f t="shared" si="21"/>
        <v>572.95</v>
      </c>
      <c r="J80" s="123">
        <f t="shared" si="22"/>
        <v>4298.4</v>
      </c>
      <c r="K80" s="124">
        <f t="shared" si="23"/>
        <v>11.877944474740557</v>
      </c>
    </row>
    <row r="81" spans="1:11" ht="13.5">
      <c r="A81" s="115" t="s">
        <v>220</v>
      </c>
      <c r="B81" s="122">
        <f t="shared" si="15"/>
        <v>513.95</v>
      </c>
      <c r="C81" s="123">
        <f t="shared" si="15"/>
        <v>337.91999999999996</v>
      </c>
      <c r="D81" s="123">
        <f t="shared" si="15"/>
        <v>11.46</v>
      </c>
      <c r="E81" s="123">
        <f t="shared" si="19"/>
        <v>164.57000000000008</v>
      </c>
      <c r="F81" s="123">
        <f t="shared" si="16"/>
        <v>280.9</v>
      </c>
      <c r="G81" s="123">
        <f t="shared" si="16"/>
        <v>0</v>
      </c>
      <c r="H81" s="123">
        <f t="shared" si="20"/>
        <v>280.9</v>
      </c>
      <c r="I81" s="134">
        <f t="shared" si="21"/>
        <v>337.91999999999996</v>
      </c>
      <c r="J81" s="123">
        <f t="shared" si="22"/>
        <v>445.47</v>
      </c>
      <c r="K81" s="124">
        <f t="shared" si="23"/>
        <v>43.955463294961305</v>
      </c>
    </row>
    <row r="82" spans="1:11" ht="13.5">
      <c r="A82" s="115" t="s">
        <v>221</v>
      </c>
      <c r="B82" s="122">
        <f t="shared" si="15"/>
        <v>89532.16</v>
      </c>
      <c r="C82" s="123">
        <f t="shared" si="15"/>
        <v>45327.84</v>
      </c>
      <c r="D82" s="123">
        <f t="shared" si="15"/>
        <v>884.23</v>
      </c>
      <c r="E82" s="123">
        <f t="shared" si="19"/>
        <v>43320.090000000004</v>
      </c>
      <c r="F82" s="122">
        <f t="shared" si="16"/>
        <v>90412.26</v>
      </c>
      <c r="G82" s="123">
        <f t="shared" si="16"/>
        <v>19617.41</v>
      </c>
      <c r="H82" s="123">
        <f t="shared" si="20"/>
        <v>70794.84999999999</v>
      </c>
      <c r="I82" s="133">
        <f t="shared" si="21"/>
        <v>64945.25</v>
      </c>
      <c r="J82" s="123">
        <f t="shared" si="22"/>
        <v>114114.94</v>
      </c>
      <c r="K82" s="124">
        <f t="shared" si="23"/>
        <v>36.58322942161807</v>
      </c>
    </row>
    <row r="83" spans="1:11" ht="13.5">
      <c r="A83" s="115" t="s">
        <v>222</v>
      </c>
      <c r="B83" s="122">
        <f t="shared" si="15"/>
        <v>7496.18</v>
      </c>
      <c r="C83" s="123">
        <f t="shared" si="15"/>
        <v>4119.52</v>
      </c>
      <c r="D83" s="123">
        <f t="shared" si="15"/>
        <v>48.06</v>
      </c>
      <c r="E83" s="123">
        <f t="shared" si="19"/>
        <v>3328.6</v>
      </c>
      <c r="F83" s="122">
        <f t="shared" si="16"/>
        <v>4339.66</v>
      </c>
      <c r="G83" s="123">
        <f t="shared" si="16"/>
        <v>186.85</v>
      </c>
      <c r="H83" s="122">
        <f t="shared" si="20"/>
        <v>4152.8099999999995</v>
      </c>
      <c r="I83" s="133">
        <f t="shared" si="21"/>
        <v>4306.370000000001</v>
      </c>
      <c r="J83" s="123">
        <f t="shared" si="22"/>
        <v>7481.41</v>
      </c>
      <c r="K83" s="124">
        <f t="shared" si="23"/>
        <v>36.790206694243935</v>
      </c>
    </row>
    <row r="84" spans="1:11" ht="13.5">
      <c r="A84" s="115" t="s">
        <v>223</v>
      </c>
      <c r="B84" s="122">
        <f t="shared" si="15"/>
        <v>109.23</v>
      </c>
      <c r="C84" s="123">
        <f t="shared" si="15"/>
        <v>25.44</v>
      </c>
      <c r="D84" s="123">
        <f t="shared" si="15"/>
        <v>0</v>
      </c>
      <c r="E84" s="123">
        <f t="shared" si="19"/>
        <v>83.79</v>
      </c>
      <c r="F84" s="122">
        <f t="shared" si="16"/>
        <v>181.68</v>
      </c>
      <c r="G84" s="123">
        <f t="shared" si="16"/>
        <v>0</v>
      </c>
      <c r="H84" s="123">
        <f t="shared" si="20"/>
        <v>181.68</v>
      </c>
      <c r="I84" s="133">
        <f t="shared" si="21"/>
        <v>25.44</v>
      </c>
      <c r="J84" s="123">
        <f t="shared" si="22"/>
        <v>265.47</v>
      </c>
      <c r="K84" s="124">
        <f t="shared" si="23"/>
        <v>8.744972671960399</v>
      </c>
    </row>
    <row r="85" spans="1:11" ht="13.5">
      <c r="A85" s="115" t="s">
        <v>224</v>
      </c>
      <c r="B85" s="122">
        <f t="shared" si="15"/>
        <v>5168.55</v>
      </c>
      <c r="C85" s="123">
        <f t="shared" si="15"/>
        <v>2203.17</v>
      </c>
      <c r="D85" s="123">
        <f t="shared" si="15"/>
        <v>35.51</v>
      </c>
      <c r="E85" s="122">
        <f t="shared" si="19"/>
        <v>2929.87</v>
      </c>
      <c r="F85" s="122">
        <f t="shared" si="16"/>
        <v>6110.54</v>
      </c>
      <c r="G85" s="123">
        <f t="shared" si="16"/>
        <v>944.27</v>
      </c>
      <c r="H85" s="122">
        <f t="shared" si="20"/>
        <v>5166.27</v>
      </c>
      <c r="I85" s="133">
        <f t="shared" si="21"/>
        <v>3147.44</v>
      </c>
      <c r="J85" s="123">
        <f t="shared" si="22"/>
        <v>8096.14</v>
      </c>
      <c r="K85" s="124">
        <f t="shared" si="23"/>
        <v>28.219918450867933</v>
      </c>
    </row>
    <row r="86" spans="1:11" ht="14.25" thickBot="1">
      <c r="A86" s="147" t="s">
        <v>234</v>
      </c>
      <c r="B86" s="125">
        <f t="shared" si="15"/>
        <v>164125.96</v>
      </c>
      <c r="C86" s="126">
        <f t="shared" si="15"/>
        <v>76920.86</v>
      </c>
      <c r="D86" s="126">
        <f t="shared" si="15"/>
        <v>1397.36</v>
      </c>
      <c r="E86" s="126">
        <f>SUM(E64:E85)</f>
        <v>85807.73999999999</v>
      </c>
      <c r="F86" s="126">
        <f>SUM(F64:F85)</f>
        <v>173763.09999999998</v>
      </c>
      <c r="G86" s="125">
        <f>SUM(G64:G85)</f>
        <v>30409.41</v>
      </c>
      <c r="H86" s="126">
        <f>SUM(H64:H85)</f>
        <v>143353.68999999997</v>
      </c>
      <c r="I86" s="125">
        <f t="shared" si="21"/>
        <v>107330.27</v>
      </c>
      <c r="J86" s="126">
        <f t="shared" si="22"/>
        <v>229161.42999999996</v>
      </c>
      <c r="K86" s="127">
        <f t="shared" si="23"/>
        <v>32.178499653111004</v>
      </c>
    </row>
    <row r="87" spans="6:9" ht="14.25" thickTop="1">
      <c r="F87" s="155"/>
      <c r="I87" s="156"/>
    </row>
  </sheetData>
  <printOptions/>
  <pageMargins left="0.984251968503937" right="0.75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D1:R18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3.140625" style="0" customWidth="1"/>
    <col min="4" max="4" width="17.00390625" style="0" customWidth="1"/>
    <col min="5" max="5" width="10.00390625" style="0" customWidth="1"/>
    <col min="6" max="6" width="9.7109375" style="0" customWidth="1"/>
    <col min="8" max="9" width="10.140625" style="0" customWidth="1"/>
    <col min="10" max="10" width="9.421875" style="0" customWidth="1"/>
    <col min="11" max="11" width="9.8515625" style="0" customWidth="1"/>
    <col min="12" max="12" width="10.57421875" style="0" customWidth="1"/>
    <col min="13" max="13" width="10.140625" style="0" customWidth="1"/>
  </cols>
  <sheetData>
    <row r="1" spans="4:14" ht="13.5">
      <c r="D1" s="128"/>
      <c r="E1" s="128"/>
      <c r="F1" s="128"/>
      <c r="G1" s="128"/>
      <c r="H1" s="128"/>
      <c r="I1" s="128"/>
      <c r="J1" s="128"/>
      <c r="K1" s="128"/>
      <c r="L1" s="128"/>
      <c r="M1" s="135" t="s">
        <v>177</v>
      </c>
      <c r="N1" s="128"/>
    </row>
    <row r="2" spans="4:14" ht="15.75">
      <c r="D2" s="170" t="s">
        <v>48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4:14" ht="13.5">
      <c r="D3" s="169" t="s">
        <v>239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4:14" ht="13.5"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28"/>
    </row>
    <row r="5" spans="4:14" ht="14.25" thickBot="1">
      <c r="D5" s="132" t="s">
        <v>107</v>
      </c>
      <c r="E5" s="118"/>
      <c r="F5" s="118"/>
      <c r="G5" s="128"/>
      <c r="H5" s="128"/>
      <c r="I5" s="128"/>
      <c r="J5" s="128"/>
      <c r="K5" s="128"/>
      <c r="L5" s="128"/>
      <c r="M5" s="128"/>
      <c r="N5" s="128"/>
    </row>
    <row r="6" spans="4:14" ht="54.75" thickTop="1">
      <c r="D6" s="119" t="s">
        <v>189</v>
      </c>
      <c r="E6" s="120" t="s">
        <v>188</v>
      </c>
      <c r="F6" s="120" t="s">
        <v>186</v>
      </c>
      <c r="G6" s="120" t="s">
        <v>190</v>
      </c>
      <c r="H6" s="120" t="s">
        <v>191</v>
      </c>
      <c r="I6" s="120" t="s">
        <v>192</v>
      </c>
      <c r="J6" s="120" t="s">
        <v>193</v>
      </c>
      <c r="K6" s="120" t="s">
        <v>194</v>
      </c>
      <c r="L6" s="120" t="s">
        <v>195</v>
      </c>
      <c r="M6" s="120" t="s">
        <v>196</v>
      </c>
      <c r="N6" s="121" t="s">
        <v>198</v>
      </c>
    </row>
    <row r="7" spans="4:14" ht="13.5">
      <c r="D7" s="115" t="s">
        <v>203</v>
      </c>
      <c r="E7" s="122">
        <v>2528.15</v>
      </c>
      <c r="F7" s="123">
        <v>1599</v>
      </c>
      <c r="G7" s="122">
        <v>39.22</v>
      </c>
      <c r="H7" s="123">
        <f>E7-F7-G7</f>
        <v>889.9300000000001</v>
      </c>
      <c r="I7" s="122">
        <v>2554.95</v>
      </c>
      <c r="J7" s="123">
        <v>1122.63</v>
      </c>
      <c r="K7" s="123">
        <f>I7-J7</f>
        <v>1432.3199999999997</v>
      </c>
      <c r="L7" s="134">
        <f>F7+J7</f>
        <v>2721.63</v>
      </c>
      <c r="M7" s="123">
        <f>H7+K7</f>
        <v>2322.25</v>
      </c>
      <c r="N7" s="124">
        <f>(F7+G7+J7)/(E7+I7)%</f>
        <v>54.31429639393284</v>
      </c>
    </row>
    <row r="8" spans="4:14" ht="13.5">
      <c r="D8" s="115" t="s">
        <v>204</v>
      </c>
      <c r="E8" s="123">
        <v>1842.09</v>
      </c>
      <c r="F8" s="123">
        <v>1411.49</v>
      </c>
      <c r="G8" s="123">
        <v>37.18</v>
      </c>
      <c r="H8" s="123">
        <f>E8-F8-G8</f>
        <v>393.4199999999999</v>
      </c>
      <c r="I8" s="123">
        <v>1033.73</v>
      </c>
      <c r="J8" s="123">
        <v>477.54</v>
      </c>
      <c r="K8" s="123">
        <f aca="true" t="shared" si="0" ref="K8:K28">I8-J8</f>
        <v>556.19</v>
      </c>
      <c r="L8" s="133">
        <f aca="true" t="shared" si="1" ref="L8:L28">F8+J8</f>
        <v>1889.03</v>
      </c>
      <c r="M8" s="122">
        <f aca="true" t="shared" si="2" ref="M8:M28">H8+K8</f>
        <v>949.6099999999999</v>
      </c>
      <c r="N8" s="124">
        <f>(F8+G8+J8)/(E8+I8)%</f>
        <v>66.97950497597208</v>
      </c>
    </row>
    <row r="9" spans="4:14" ht="13.5">
      <c r="D9" s="115" t="s">
        <v>205</v>
      </c>
      <c r="E9" s="122">
        <v>2034.01</v>
      </c>
      <c r="F9" s="123">
        <v>1422.71</v>
      </c>
      <c r="G9" s="123">
        <v>36.08</v>
      </c>
      <c r="H9" s="123">
        <f>E9-F9-G9</f>
        <v>575.2199999999999</v>
      </c>
      <c r="I9" s="122">
        <v>1351.83</v>
      </c>
      <c r="J9" s="123">
        <v>566.14</v>
      </c>
      <c r="K9" s="123">
        <f t="shared" si="0"/>
        <v>785.6899999999999</v>
      </c>
      <c r="L9" s="133">
        <f t="shared" si="1"/>
        <v>1988.85</v>
      </c>
      <c r="M9" s="122">
        <f t="shared" si="2"/>
        <v>1360.9099999999999</v>
      </c>
      <c r="N9" s="124">
        <f aca="true" t="shared" si="3" ref="N9:N28">(F9+G9+J9)/(E9+I9)%</f>
        <v>59.80583843300332</v>
      </c>
    </row>
    <row r="10" spans="4:14" ht="13.5">
      <c r="D10" s="115" t="s">
        <v>206</v>
      </c>
      <c r="E10" s="122">
        <v>2771.47</v>
      </c>
      <c r="F10" s="123">
        <v>1983.7</v>
      </c>
      <c r="G10" s="122">
        <v>63.99</v>
      </c>
      <c r="H10" s="123">
        <f aca="true" t="shared" si="4" ref="H10:H28">E10-F10-G10</f>
        <v>723.7799999999997</v>
      </c>
      <c r="I10" s="122">
        <v>2114.62</v>
      </c>
      <c r="J10" s="122">
        <v>883.87</v>
      </c>
      <c r="K10" s="123">
        <f t="shared" si="0"/>
        <v>1230.75</v>
      </c>
      <c r="L10" s="134">
        <f>F10+J10</f>
        <v>2867.57</v>
      </c>
      <c r="M10" s="122">
        <f t="shared" si="2"/>
        <v>1954.5299999999997</v>
      </c>
      <c r="N10" s="124">
        <f t="shared" si="3"/>
        <v>59.99807617133536</v>
      </c>
    </row>
    <row r="11" spans="4:14" ht="13.5">
      <c r="D11" s="115" t="s">
        <v>207</v>
      </c>
      <c r="E11" s="123">
        <v>2800.98</v>
      </c>
      <c r="F11" s="123">
        <v>1220.61</v>
      </c>
      <c r="G11" s="123">
        <v>26.59</v>
      </c>
      <c r="H11" s="123">
        <f t="shared" si="4"/>
        <v>1553.7800000000002</v>
      </c>
      <c r="I11" s="123">
        <v>4656.84</v>
      </c>
      <c r="J11" s="123">
        <v>695.25</v>
      </c>
      <c r="K11" s="122">
        <f t="shared" si="0"/>
        <v>3961.59</v>
      </c>
      <c r="L11" s="134">
        <f t="shared" si="1"/>
        <v>1915.86</v>
      </c>
      <c r="M11" s="123">
        <f t="shared" si="2"/>
        <v>5515.370000000001</v>
      </c>
      <c r="N11" s="124">
        <f t="shared" si="3"/>
        <v>26.045814996875762</v>
      </c>
    </row>
    <row r="12" spans="4:14" ht="13.5">
      <c r="D12" s="115" t="s">
        <v>208</v>
      </c>
      <c r="E12" s="123">
        <v>1837</v>
      </c>
      <c r="F12" s="123">
        <v>1321.72</v>
      </c>
      <c r="G12" s="122">
        <v>43.36</v>
      </c>
      <c r="H12" s="123">
        <f t="shared" si="4"/>
        <v>471.91999999999996</v>
      </c>
      <c r="I12" s="122">
        <v>1098.72</v>
      </c>
      <c r="J12" s="123">
        <v>319.55</v>
      </c>
      <c r="K12" s="123">
        <f t="shared" si="0"/>
        <v>779.1700000000001</v>
      </c>
      <c r="L12" s="134">
        <f t="shared" si="1"/>
        <v>1641.27</v>
      </c>
      <c r="M12" s="122">
        <f t="shared" si="2"/>
        <v>1251.0900000000001</v>
      </c>
      <c r="N12" s="124">
        <f t="shared" si="3"/>
        <v>57.383878571525884</v>
      </c>
    </row>
    <row r="13" spans="4:14" ht="13.5">
      <c r="D13" s="115" t="s">
        <v>209</v>
      </c>
      <c r="E13" s="123">
        <v>582.48</v>
      </c>
      <c r="F13" s="122">
        <v>332.66</v>
      </c>
      <c r="G13" s="122">
        <v>7.17</v>
      </c>
      <c r="H13" s="123">
        <f t="shared" si="4"/>
        <v>242.65</v>
      </c>
      <c r="I13" s="122">
        <v>634.63</v>
      </c>
      <c r="J13" s="123">
        <v>249.5</v>
      </c>
      <c r="K13" s="123">
        <f t="shared" si="0"/>
        <v>385.13</v>
      </c>
      <c r="L13" s="133">
        <f t="shared" si="1"/>
        <v>582.1600000000001</v>
      </c>
      <c r="M13" s="123">
        <f t="shared" si="2"/>
        <v>627.78</v>
      </c>
      <c r="N13" s="124">
        <f t="shared" si="3"/>
        <v>48.420438579914716</v>
      </c>
    </row>
    <row r="14" spans="4:14" ht="13.5">
      <c r="D14" s="115" t="s">
        <v>210</v>
      </c>
      <c r="E14" s="122">
        <v>1967.04</v>
      </c>
      <c r="F14" s="123">
        <v>1313.94</v>
      </c>
      <c r="G14" s="122">
        <v>39.73</v>
      </c>
      <c r="H14" s="123">
        <f t="shared" si="4"/>
        <v>613.3699999999999</v>
      </c>
      <c r="I14" s="123">
        <v>1405.77</v>
      </c>
      <c r="J14" s="123">
        <v>463.17</v>
      </c>
      <c r="K14" s="123">
        <f t="shared" si="0"/>
        <v>942.5999999999999</v>
      </c>
      <c r="L14" s="134">
        <f t="shared" si="1"/>
        <v>1777.1100000000001</v>
      </c>
      <c r="M14" s="122">
        <f t="shared" si="2"/>
        <v>1555.9699999999998</v>
      </c>
      <c r="N14" s="124">
        <f t="shared" si="3"/>
        <v>53.86725015639779</v>
      </c>
    </row>
    <row r="15" spans="4:14" ht="13.5">
      <c r="D15" s="115" t="s">
        <v>211</v>
      </c>
      <c r="E15" s="123">
        <v>364.16</v>
      </c>
      <c r="F15" s="123">
        <v>212.98</v>
      </c>
      <c r="G15" s="122">
        <v>4.87</v>
      </c>
      <c r="H15" s="123">
        <f t="shared" si="4"/>
        <v>146.31000000000003</v>
      </c>
      <c r="I15" s="122">
        <v>261.17</v>
      </c>
      <c r="J15" s="123">
        <v>76.87</v>
      </c>
      <c r="K15" s="123">
        <f t="shared" si="0"/>
        <v>184.3</v>
      </c>
      <c r="L15" s="134">
        <f t="shared" si="1"/>
        <v>289.85</v>
      </c>
      <c r="M15" s="123">
        <f t="shared" si="2"/>
        <v>330.61</v>
      </c>
      <c r="N15" s="124">
        <f t="shared" si="3"/>
        <v>47.13031519357779</v>
      </c>
    </row>
    <row r="16" spans="4:14" ht="13.5">
      <c r="D16" s="115" t="s">
        <v>212</v>
      </c>
      <c r="E16" s="122">
        <v>1080.75</v>
      </c>
      <c r="F16" s="122">
        <v>762.13</v>
      </c>
      <c r="G16" s="123">
        <v>17.26</v>
      </c>
      <c r="H16" s="123">
        <f t="shared" si="4"/>
        <v>301.36</v>
      </c>
      <c r="I16" s="122">
        <v>751.11</v>
      </c>
      <c r="J16" s="123">
        <v>179.41</v>
      </c>
      <c r="K16" s="123">
        <f t="shared" si="0"/>
        <v>571.7</v>
      </c>
      <c r="L16" s="133">
        <f t="shared" si="1"/>
        <v>941.54</v>
      </c>
      <c r="M16" s="122">
        <f t="shared" si="2"/>
        <v>873.0600000000001</v>
      </c>
      <c r="N16" s="124">
        <f t="shared" si="3"/>
        <v>52.340244341816515</v>
      </c>
    </row>
    <row r="17" spans="4:14" ht="13.5">
      <c r="D17" s="115" t="s">
        <v>213</v>
      </c>
      <c r="E17" s="122">
        <v>6316.68</v>
      </c>
      <c r="F17" s="123">
        <v>3783</v>
      </c>
      <c r="G17" s="123">
        <v>94.95</v>
      </c>
      <c r="H17" s="122">
        <f>E17-F17-G17</f>
        <v>2438.7300000000005</v>
      </c>
      <c r="I17" s="123">
        <v>6082.38</v>
      </c>
      <c r="J17" s="123">
        <v>1668.64</v>
      </c>
      <c r="K17" s="123">
        <f t="shared" si="0"/>
        <v>4413.74</v>
      </c>
      <c r="L17" s="134">
        <f t="shared" si="1"/>
        <v>5451.64</v>
      </c>
      <c r="M17" s="122">
        <f t="shared" si="2"/>
        <v>6852.47</v>
      </c>
      <c r="N17" s="124">
        <f t="shared" si="3"/>
        <v>44.733955638572596</v>
      </c>
    </row>
    <row r="18" spans="4:14" ht="13.5">
      <c r="D18" s="115" t="s">
        <v>214</v>
      </c>
      <c r="E18" s="123">
        <v>6389.86</v>
      </c>
      <c r="F18" s="123">
        <v>4226.2</v>
      </c>
      <c r="G18" s="122">
        <v>134.46</v>
      </c>
      <c r="H18" s="123">
        <f t="shared" si="4"/>
        <v>2029.1999999999998</v>
      </c>
      <c r="I18" s="123">
        <v>4804.22</v>
      </c>
      <c r="J18" s="123">
        <v>1749.07</v>
      </c>
      <c r="K18" s="123">
        <f t="shared" si="0"/>
        <v>3055.1500000000005</v>
      </c>
      <c r="L18" s="133">
        <f t="shared" si="1"/>
        <v>5975.2699999999995</v>
      </c>
      <c r="M18" s="122">
        <f t="shared" si="2"/>
        <v>5084.35</v>
      </c>
      <c r="N18" s="124">
        <f t="shared" si="3"/>
        <v>54.5800101482212</v>
      </c>
    </row>
    <row r="19" spans="4:14" ht="13.5">
      <c r="D19" s="115" t="s">
        <v>215</v>
      </c>
      <c r="E19" s="123">
        <v>2933.2</v>
      </c>
      <c r="F19" s="123">
        <v>2131.55</v>
      </c>
      <c r="G19" s="122">
        <v>55.28</v>
      </c>
      <c r="H19" s="122">
        <f t="shared" si="4"/>
        <v>746.3699999999997</v>
      </c>
      <c r="I19" s="122">
        <v>2284.77</v>
      </c>
      <c r="J19" s="123">
        <v>988.22</v>
      </c>
      <c r="K19" s="123">
        <f t="shared" si="0"/>
        <v>1296.55</v>
      </c>
      <c r="L19" s="134">
        <f t="shared" si="1"/>
        <v>3119.7700000000004</v>
      </c>
      <c r="M19" s="122">
        <f t="shared" si="2"/>
        <v>2042.9199999999996</v>
      </c>
      <c r="N19" s="124">
        <f t="shared" si="3"/>
        <v>60.84837590097299</v>
      </c>
    </row>
    <row r="20" spans="4:14" ht="13.5">
      <c r="D20" s="115" t="s">
        <v>216</v>
      </c>
      <c r="E20" s="122">
        <v>318.24</v>
      </c>
      <c r="F20" s="122">
        <v>180.36</v>
      </c>
      <c r="G20" s="123">
        <v>2.78</v>
      </c>
      <c r="H20" s="123">
        <f t="shared" si="4"/>
        <v>135.1</v>
      </c>
      <c r="I20" s="122">
        <v>298.16</v>
      </c>
      <c r="J20" s="122">
        <v>97.77</v>
      </c>
      <c r="K20" s="122">
        <f t="shared" si="0"/>
        <v>200.39000000000004</v>
      </c>
      <c r="L20" s="134">
        <f>F20+J20</f>
        <v>278.13</v>
      </c>
      <c r="M20" s="122">
        <f t="shared" si="2"/>
        <v>335.49</v>
      </c>
      <c r="N20" s="124">
        <f t="shared" si="3"/>
        <v>45.57268007787151</v>
      </c>
    </row>
    <row r="21" spans="4:14" ht="13.5">
      <c r="D21" s="115" t="s">
        <v>217</v>
      </c>
      <c r="E21" s="123">
        <v>1272.11</v>
      </c>
      <c r="F21" s="123">
        <v>947.48</v>
      </c>
      <c r="G21" s="123">
        <v>29.76</v>
      </c>
      <c r="H21" s="123">
        <f t="shared" si="4"/>
        <v>294.8699999999999</v>
      </c>
      <c r="I21" s="123">
        <v>617.44</v>
      </c>
      <c r="J21" s="123">
        <v>234.89</v>
      </c>
      <c r="K21" s="123">
        <f t="shared" si="0"/>
        <v>382.55000000000007</v>
      </c>
      <c r="L21" s="134">
        <f t="shared" si="1"/>
        <v>1182.37</v>
      </c>
      <c r="M21" s="123">
        <f t="shared" si="2"/>
        <v>677.42</v>
      </c>
      <c r="N21" s="124">
        <f t="shared" si="3"/>
        <v>64.14913603768095</v>
      </c>
    </row>
    <row r="22" spans="4:14" ht="13.5">
      <c r="D22" s="115" t="s">
        <v>218</v>
      </c>
      <c r="E22" s="123">
        <v>1321.3</v>
      </c>
      <c r="F22" s="122">
        <v>951.85</v>
      </c>
      <c r="G22" s="123">
        <v>27.11</v>
      </c>
      <c r="H22" s="123">
        <f t="shared" si="4"/>
        <v>342.3399999999999</v>
      </c>
      <c r="I22" s="123">
        <v>951.68</v>
      </c>
      <c r="J22" s="123">
        <v>425.03</v>
      </c>
      <c r="K22" s="123">
        <f t="shared" si="0"/>
        <v>526.65</v>
      </c>
      <c r="L22" s="133">
        <f t="shared" si="1"/>
        <v>1376.88</v>
      </c>
      <c r="M22" s="122">
        <f t="shared" si="2"/>
        <v>868.9899999999999</v>
      </c>
      <c r="N22" s="124">
        <f t="shared" si="3"/>
        <v>61.76869132152505</v>
      </c>
    </row>
    <row r="23" spans="4:14" ht="13.5">
      <c r="D23" s="115" t="s">
        <v>219</v>
      </c>
      <c r="E23" s="122">
        <v>2625.91</v>
      </c>
      <c r="F23" s="122">
        <v>1870.29</v>
      </c>
      <c r="G23" s="123">
        <v>51.87</v>
      </c>
      <c r="H23" s="123">
        <f t="shared" si="4"/>
        <v>703.7499999999999</v>
      </c>
      <c r="I23" s="123">
        <v>1729.5</v>
      </c>
      <c r="J23" s="123">
        <v>514.8</v>
      </c>
      <c r="K23" s="123">
        <f t="shared" si="0"/>
        <v>1214.7</v>
      </c>
      <c r="L23" s="134">
        <f t="shared" si="1"/>
        <v>2385.09</v>
      </c>
      <c r="M23" s="123">
        <f t="shared" si="2"/>
        <v>1918.4499999999998</v>
      </c>
      <c r="N23" s="124">
        <f t="shared" si="3"/>
        <v>55.95248208549827</v>
      </c>
    </row>
    <row r="24" spans="4:14" ht="13.5">
      <c r="D24" s="115" t="s">
        <v>220</v>
      </c>
      <c r="E24" s="123">
        <v>1771.5</v>
      </c>
      <c r="F24" s="122">
        <v>1364.63</v>
      </c>
      <c r="G24" s="122">
        <v>48.85</v>
      </c>
      <c r="H24" s="123">
        <f t="shared" si="4"/>
        <v>358.01999999999987</v>
      </c>
      <c r="I24" s="123">
        <v>657.55</v>
      </c>
      <c r="J24" s="123">
        <v>252.4</v>
      </c>
      <c r="K24" s="123">
        <f t="shared" si="0"/>
        <v>405.15</v>
      </c>
      <c r="L24" s="133">
        <f>F24+J24</f>
        <v>1617.0300000000002</v>
      </c>
      <c r="M24" s="122">
        <f t="shared" si="2"/>
        <v>763.1699999999998</v>
      </c>
      <c r="N24" s="124">
        <f t="shared" si="3"/>
        <v>68.58154422510859</v>
      </c>
    </row>
    <row r="25" spans="4:14" ht="13.5">
      <c r="D25" s="115" t="s">
        <v>221</v>
      </c>
      <c r="E25" s="123">
        <v>35149.31</v>
      </c>
      <c r="F25" s="123">
        <v>24768.4</v>
      </c>
      <c r="G25" s="122">
        <v>550.31</v>
      </c>
      <c r="H25" s="123">
        <f t="shared" si="4"/>
        <v>9830.599999999997</v>
      </c>
      <c r="I25" s="123">
        <v>19187.3</v>
      </c>
      <c r="J25" s="123">
        <v>8862.75</v>
      </c>
      <c r="K25" s="123">
        <f t="shared" si="0"/>
        <v>10324.55</v>
      </c>
      <c r="L25" s="134">
        <f t="shared" si="1"/>
        <v>33631.15</v>
      </c>
      <c r="M25" s="123">
        <f t="shared" si="2"/>
        <v>20155.149999999994</v>
      </c>
      <c r="N25" s="124">
        <f t="shared" si="3"/>
        <v>62.906868867969514</v>
      </c>
    </row>
    <row r="26" spans="4:14" ht="13.5">
      <c r="D26" s="115" t="s">
        <v>222</v>
      </c>
      <c r="E26" s="123">
        <v>7166.47</v>
      </c>
      <c r="F26" s="123">
        <v>4955.5</v>
      </c>
      <c r="G26" s="123">
        <v>137.34</v>
      </c>
      <c r="H26" s="123">
        <f t="shared" si="4"/>
        <v>2073.63</v>
      </c>
      <c r="I26" s="122">
        <v>5139.76</v>
      </c>
      <c r="J26" s="122">
        <v>1536.55</v>
      </c>
      <c r="K26" s="123">
        <f t="shared" si="0"/>
        <v>3603.21</v>
      </c>
      <c r="L26" s="133">
        <f t="shared" si="1"/>
        <v>6492.05</v>
      </c>
      <c r="M26" s="123">
        <f t="shared" si="2"/>
        <v>5676.84</v>
      </c>
      <c r="N26" s="124">
        <f t="shared" si="3"/>
        <v>53.87019420244869</v>
      </c>
    </row>
    <row r="27" spans="4:14" ht="13.5">
      <c r="D27" s="115" t="s">
        <v>223</v>
      </c>
      <c r="E27" s="122">
        <v>689.23</v>
      </c>
      <c r="F27" s="122">
        <v>430.52</v>
      </c>
      <c r="G27" s="123">
        <v>9.5</v>
      </c>
      <c r="H27" s="123">
        <f t="shared" si="4"/>
        <v>249.21000000000004</v>
      </c>
      <c r="I27" s="123">
        <v>747.53</v>
      </c>
      <c r="J27" s="122">
        <v>275.68</v>
      </c>
      <c r="K27" s="123">
        <f>I27-J27</f>
        <v>471.84999999999997</v>
      </c>
      <c r="L27" s="134">
        <f t="shared" si="1"/>
        <v>706.2</v>
      </c>
      <c r="M27" s="122">
        <f t="shared" si="2"/>
        <v>721.06</v>
      </c>
      <c r="N27" s="124">
        <f t="shared" si="3"/>
        <v>49.81346919457669</v>
      </c>
    </row>
    <row r="28" spans="4:14" ht="13.5">
      <c r="D28" s="115" t="s">
        <v>224</v>
      </c>
      <c r="E28" s="123">
        <v>3081.13</v>
      </c>
      <c r="F28" s="123">
        <v>1940.27</v>
      </c>
      <c r="G28" s="122">
        <v>51.42</v>
      </c>
      <c r="H28" s="123">
        <f t="shared" si="4"/>
        <v>1089.44</v>
      </c>
      <c r="I28" s="122">
        <v>2929.62</v>
      </c>
      <c r="J28" s="122">
        <v>755.47</v>
      </c>
      <c r="K28" s="123">
        <f t="shared" si="0"/>
        <v>2174.1499999999996</v>
      </c>
      <c r="L28" s="133">
        <f t="shared" si="1"/>
        <v>2695.74</v>
      </c>
      <c r="M28" s="122">
        <f t="shared" si="2"/>
        <v>3263.5899999999997</v>
      </c>
      <c r="N28" s="124">
        <f t="shared" si="3"/>
        <v>45.70411346337811</v>
      </c>
    </row>
    <row r="29" spans="4:14" ht="14.25" thickBot="1">
      <c r="D29" s="117" t="s">
        <v>225</v>
      </c>
      <c r="E29" s="125">
        <f aca="true" t="shared" si="5" ref="E29:M29">SUM(E7:E28)</f>
        <v>86843.06999999999</v>
      </c>
      <c r="F29" s="125">
        <f t="shared" si="5"/>
        <v>59130.98999999999</v>
      </c>
      <c r="G29" s="126">
        <f t="shared" si="5"/>
        <v>1509.08</v>
      </c>
      <c r="H29" s="125">
        <f t="shared" si="5"/>
        <v>26202.999999999993</v>
      </c>
      <c r="I29" s="125">
        <f t="shared" si="5"/>
        <v>61293.28</v>
      </c>
      <c r="J29" s="125">
        <f t="shared" si="5"/>
        <v>22395.2</v>
      </c>
      <c r="K29" s="126">
        <f t="shared" si="5"/>
        <v>38898.08</v>
      </c>
      <c r="L29" s="126">
        <f>SUM(L7:L28)</f>
        <v>81526.19000000002</v>
      </c>
      <c r="M29" s="126">
        <f t="shared" si="5"/>
        <v>65101.07999999999</v>
      </c>
      <c r="N29" s="127">
        <f>(F29+G29+J29)/(E29+I29)%</f>
        <v>56.053271192384585</v>
      </c>
    </row>
    <row r="30" spans="4:14" ht="14.25" thickTop="1">
      <c r="D30" s="128"/>
      <c r="E30" s="128"/>
      <c r="F30" s="128"/>
      <c r="G30" s="128"/>
      <c r="H30" s="128"/>
      <c r="I30" s="128"/>
      <c r="J30" s="128"/>
      <c r="K30" s="129"/>
      <c r="L30" s="144"/>
      <c r="M30" s="128"/>
      <c r="N30" s="128"/>
    </row>
    <row r="31" spans="4:14" ht="13.5">
      <c r="D31" s="128"/>
      <c r="E31" s="128"/>
      <c r="F31" s="131"/>
      <c r="G31" s="128"/>
      <c r="H31" s="128"/>
      <c r="I31" s="128"/>
      <c r="J31" s="128"/>
      <c r="K31" s="128"/>
      <c r="L31" s="145"/>
      <c r="M31" s="128"/>
      <c r="N31" s="128"/>
    </row>
    <row r="32" spans="4:14" ht="13.5">
      <c r="D32" s="128"/>
      <c r="E32" s="131"/>
      <c r="F32" s="128"/>
      <c r="G32" s="128"/>
      <c r="H32" s="128"/>
      <c r="I32" s="128"/>
      <c r="J32" s="128"/>
      <c r="K32" s="128"/>
      <c r="L32" s="135"/>
      <c r="M32" s="128"/>
      <c r="N32" s="128"/>
    </row>
    <row r="33" spans="4:14" ht="14.25" thickBot="1">
      <c r="D33" s="132" t="s">
        <v>110</v>
      </c>
      <c r="E33" s="118"/>
      <c r="F33" s="118"/>
      <c r="G33" s="128"/>
      <c r="H33" s="128"/>
      <c r="I33" s="128"/>
      <c r="J33" s="128"/>
      <c r="K33" s="128"/>
      <c r="L33" s="135"/>
      <c r="M33" s="128"/>
      <c r="N33" s="128"/>
    </row>
    <row r="34" spans="4:14" ht="54.75" thickTop="1">
      <c r="D34" s="119" t="s">
        <v>189</v>
      </c>
      <c r="E34" s="120" t="s">
        <v>188</v>
      </c>
      <c r="F34" s="120" t="s">
        <v>186</v>
      </c>
      <c r="G34" s="120" t="s">
        <v>190</v>
      </c>
      <c r="H34" s="120" t="s">
        <v>191</v>
      </c>
      <c r="I34" s="120" t="s">
        <v>192</v>
      </c>
      <c r="J34" s="120" t="s">
        <v>193</v>
      </c>
      <c r="K34" s="120" t="s">
        <v>194</v>
      </c>
      <c r="L34" s="120" t="s">
        <v>195</v>
      </c>
      <c r="M34" s="120" t="s">
        <v>196</v>
      </c>
      <c r="N34" s="121" t="s">
        <v>198</v>
      </c>
    </row>
    <row r="35" spans="4:15" ht="13.5">
      <c r="D35" s="115" t="s">
        <v>203</v>
      </c>
      <c r="E35" s="122">
        <v>98.24</v>
      </c>
      <c r="F35" s="123">
        <v>93.47</v>
      </c>
      <c r="G35" s="122">
        <v>0.14</v>
      </c>
      <c r="H35" s="122">
        <f aca="true" t="shared" si="6" ref="H35:H56">E35-F35-G35</f>
        <v>4.629999999999996</v>
      </c>
      <c r="I35" s="122">
        <v>201.51</v>
      </c>
      <c r="J35" s="123">
        <v>233</v>
      </c>
      <c r="K35" s="123">
        <f aca="true" t="shared" si="7" ref="K35:K56">I35-J35</f>
        <v>-31.49000000000001</v>
      </c>
      <c r="L35" s="134">
        <f>F35+J35</f>
        <v>326.47</v>
      </c>
      <c r="M35" s="122">
        <f aca="true" t="shared" si="8" ref="M35:M56">H35+K35</f>
        <v>-26.860000000000014</v>
      </c>
      <c r="N35" s="124">
        <f aca="true" t="shared" si="9" ref="N35:N58">(F35+G35+J35)/(E35+I35)%</f>
        <v>108.96080066722268</v>
      </c>
      <c r="O35" s="68"/>
    </row>
    <row r="36" spans="4:15" ht="13.5">
      <c r="D36" s="115" t="s">
        <v>204</v>
      </c>
      <c r="E36" s="122">
        <v>244.83</v>
      </c>
      <c r="F36" s="122">
        <v>135.57</v>
      </c>
      <c r="G36" s="122">
        <v>5.33</v>
      </c>
      <c r="H36" s="122">
        <f t="shared" si="6"/>
        <v>103.93000000000002</v>
      </c>
      <c r="I36" s="122">
        <v>208.75</v>
      </c>
      <c r="J36" s="122">
        <v>57.65</v>
      </c>
      <c r="K36" s="123">
        <f t="shared" si="7"/>
        <v>151.1</v>
      </c>
      <c r="L36" s="134">
        <f aca="true" t="shared" si="10" ref="L36:L57">F36+J36</f>
        <v>193.22</v>
      </c>
      <c r="M36" s="122">
        <f t="shared" si="8"/>
        <v>255.03000000000003</v>
      </c>
      <c r="N36" s="124">
        <f t="shared" si="9"/>
        <v>43.773975924864416</v>
      </c>
      <c r="O36" s="68"/>
    </row>
    <row r="37" spans="4:15" ht="13.5">
      <c r="D37" s="115" t="s">
        <v>205</v>
      </c>
      <c r="E37" s="122">
        <v>147.78</v>
      </c>
      <c r="F37" s="123">
        <v>65.44</v>
      </c>
      <c r="G37" s="122">
        <v>0.62</v>
      </c>
      <c r="H37" s="123">
        <f t="shared" si="6"/>
        <v>81.72</v>
      </c>
      <c r="I37" s="123">
        <v>82.2</v>
      </c>
      <c r="J37" s="122">
        <v>19.04</v>
      </c>
      <c r="K37" s="122">
        <f t="shared" si="7"/>
        <v>63.160000000000004</v>
      </c>
      <c r="L37" s="134">
        <f t="shared" si="10"/>
        <v>84.47999999999999</v>
      </c>
      <c r="M37" s="122">
        <f t="shared" si="8"/>
        <v>144.88</v>
      </c>
      <c r="N37" s="124">
        <f t="shared" si="9"/>
        <v>37.00321767110183</v>
      </c>
      <c r="O37" s="68"/>
    </row>
    <row r="38" spans="4:15" ht="13.5">
      <c r="D38" s="115" t="s">
        <v>206</v>
      </c>
      <c r="E38" s="122">
        <v>230.56</v>
      </c>
      <c r="F38" s="123">
        <v>92.48</v>
      </c>
      <c r="G38" s="122">
        <v>1.92</v>
      </c>
      <c r="H38" s="123">
        <f t="shared" si="6"/>
        <v>136.16</v>
      </c>
      <c r="I38" s="122">
        <v>118.68</v>
      </c>
      <c r="J38" s="122">
        <v>9.64</v>
      </c>
      <c r="K38" s="123">
        <f t="shared" si="7"/>
        <v>109.04</v>
      </c>
      <c r="L38" s="133">
        <f t="shared" si="10"/>
        <v>102.12</v>
      </c>
      <c r="M38" s="123">
        <f t="shared" si="8"/>
        <v>245.2</v>
      </c>
      <c r="N38" s="124">
        <f t="shared" si="9"/>
        <v>29.790402015805753</v>
      </c>
      <c r="O38" s="68"/>
    </row>
    <row r="39" spans="4:15" ht="13.5">
      <c r="D39" s="115" t="s">
        <v>207</v>
      </c>
      <c r="E39" s="123">
        <v>308.68</v>
      </c>
      <c r="F39" s="123">
        <v>128.65</v>
      </c>
      <c r="G39" s="123">
        <v>1.8</v>
      </c>
      <c r="H39" s="122">
        <f t="shared" si="6"/>
        <v>178.23</v>
      </c>
      <c r="I39" s="123">
        <v>270.54</v>
      </c>
      <c r="J39" s="123">
        <v>24.33</v>
      </c>
      <c r="K39" s="123">
        <f t="shared" si="7"/>
        <v>246.21000000000004</v>
      </c>
      <c r="L39" s="133">
        <f t="shared" si="10"/>
        <v>152.98000000000002</v>
      </c>
      <c r="M39" s="122">
        <f t="shared" si="8"/>
        <v>424.44000000000005</v>
      </c>
      <c r="N39" s="124">
        <f t="shared" si="9"/>
        <v>26.72214357239046</v>
      </c>
      <c r="O39" s="68"/>
    </row>
    <row r="40" spans="4:15" ht="13.5">
      <c r="D40" s="115" t="s">
        <v>208</v>
      </c>
      <c r="E40" s="123">
        <v>394.01</v>
      </c>
      <c r="F40" s="122">
        <v>349.32</v>
      </c>
      <c r="G40" s="123">
        <v>2.77</v>
      </c>
      <c r="H40" s="123">
        <f t="shared" si="6"/>
        <v>41.919999999999995</v>
      </c>
      <c r="I40" s="122">
        <v>378.02</v>
      </c>
      <c r="J40" s="122">
        <v>315.84</v>
      </c>
      <c r="K40" s="123">
        <f t="shared" si="7"/>
        <v>62.18000000000001</v>
      </c>
      <c r="L40" s="133">
        <f t="shared" si="10"/>
        <v>665.16</v>
      </c>
      <c r="M40" s="123">
        <f t="shared" si="8"/>
        <v>104.1</v>
      </c>
      <c r="N40" s="124">
        <f t="shared" si="9"/>
        <v>86.51606802844448</v>
      </c>
      <c r="O40" s="68"/>
    </row>
    <row r="41" spans="4:15" ht="13.5">
      <c r="D41" s="115" t="s">
        <v>209</v>
      </c>
      <c r="E41" s="122">
        <v>26.09</v>
      </c>
      <c r="F41" s="122">
        <v>25.58</v>
      </c>
      <c r="G41" s="123">
        <v>0.82</v>
      </c>
      <c r="H41" s="123">
        <f t="shared" si="6"/>
        <v>-0.3099999999999984</v>
      </c>
      <c r="I41" s="122">
        <v>10.13</v>
      </c>
      <c r="J41" s="122">
        <v>11.19</v>
      </c>
      <c r="K41" s="122">
        <f t="shared" si="7"/>
        <v>-1.0599999999999987</v>
      </c>
      <c r="L41" s="133">
        <f t="shared" si="10"/>
        <v>36.769999999999996</v>
      </c>
      <c r="M41" s="122">
        <f t="shared" si="8"/>
        <v>-1.369999999999997</v>
      </c>
      <c r="N41" s="124">
        <f t="shared" si="9"/>
        <v>103.7824406405301</v>
      </c>
      <c r="O41" s="68"/>
    </row>
    <row r="42" spans="4:15" ht="13.5">
      <c r="D42" s="115" t="s">
        <v>210</v>
      </c>
      <c r="E42" s="123">
        <v>188.4</v>
      </c>
      <c r="F42" s="123">
        <v>137.3</v>
      </c>
      <c r="G42" s="122">
        <v>7.24</v>
      </c>
      <c r="H42" s="122">
        <f t="shared" si="6"/>
        <v>43.85999999999999</v>
      </c>
      <c r="I42" s="123">
        <v>111.78</v>
      </c>
      <c r="J42" s="123">
        <v>88.88</v>
      </c>
      <c r="K42" s="123">
        <f t="shared" si="7"/>
        <v>22.900000000000006</v>
      </c>
      <c r="L42" s="133">
        <f t="shared" si="10"/>
        <v>226.18</v>
      </c>
      <c r="M42" s="123">
        <f t="shared" si="8"/>
        <v>66.75999999999999</v>
      </c>
      <c r="N42" s="124">
        <f t="shared" si="9"/>
        <v>77.76001066027051</v>
      </c>
      <c r="O42" s="68"/>
    </row>
    <row r="43" spans="4:15" ht="13.5">
      <c r="D43" s="115" t="s">
        <v>211</v>
      </c>
      <c r="E43" s="123">
        <v>39.89</v>
      </c>
      <c r="F43" s="123">
        <v>2.51</v>
      </c>
      <c r="G43" s="122">
        <v>0.02</v>
      </c>
      <c r="H43" s="123">
        <f t="shared" si="6"/>
        <v>37.36</v>
      </c>
      <c r="I43" s="122">
        <v>1.58</v>
      </c>
      <c r="J43" s="122"/>
      <c r="K43" s="123">
        <f t="shared" si="7"/>
        <v>1.58</v>
      </c>
      <c r="L43" s="133">
        <f t="shared" si="10"/>
        <v>2.51</v>
      </c>
      <c r="M43" s="123">
        <f t="shared" si="8"/>
        <v>38.94</v>
      </c>
      <c r="N43" s="124">
        <f t="shared" si="9"/>
        <v>6.100795755968169</v>
      </c>
      <c r="O43" s="68"/>
    </row>
    <row r="44" spans="4:15" ht="13.5">
      <c r="D44" s="115" t="s">
        <v>212</v>
      </c>
      <c r="E44" s="123">
        <v>114.63</v>
      </c>
      <c r="F44" s="122">
        <v>29.51</v>
      </c>
      <c r="G44" s="122"/>
      <c r="H44" s="123">
        <f t="shared" si="6"/>
        <v>85.11999999999999</v>
      </c>
      <c r="I44" s="122">
        <v>95.08</v>
      </c>
      <c r="J44" s="123">
        <v>23.73</v>
      </c>
      <c r="K44" s="123">
        <f t="shared" si="7"/>
        <v>71.35</v>
      </c>
      <c r="L44" s="134">
        <f t="shared" si="10"/>
        <v>53.24</v>
      </c>
      <c r="M44" s="122">
        <f t="shared" si="8"/>
        <v>156.46999999999997</v>
      </c>
      <c r="N44" s="124">
        <f t="shared" si="9"/>
        <v>25.387439797816036</v>
      </c>
      <c r="O44" s="68"/>
    </row>
    <row r="45" spans="4:15" ht="13.5">
      <c r="D45" s="115" t="s">
        <v>213</v>
      </c>
      <c r="E45" s="122">
        <v>4480.57</v>
      </c>
      <c r="F45" s="123">
        <v>3995.84</v>
      </c>
      <c r="G45" s="123">
        <v>201.87</v>
      </c>
      <c r="H45" s="123">
        <f t="shared" si="6"/>
        <v>282.85999999999956</v>
      </c>
      <c r="I45" s="122">
        <v>438.06</v>
      </c>
      <c r="J45" s="122">
        <v>322.24</v>
      </c>
      <c r="K45" s="122">
        <f t="shared" si="7"/>
        <v>115.82</v>
      </c>
      <c r="L45" s="133">
        <f t="shared" si="10"/>
        <v>4318.08</v>
      </c>
      <c r="M45" s="123">
        <f t="shared" si="8"/>
        <v>398.67999999999955</v>
      </c>
      <c r="N45" s="124">
        <f>(F45+G45+J45)/(E45+I45)%</f>
        <v>91.8944909456495</v>
      </c>
      <c r="O45" s="68"/>
    </row>
    <row r="46" spans="4:15" ht="13.5">
      <c r="D46" s="115" t="s">
        <v>214</v>
      </c>
      <c r="E46" s="123">
        <v>3488.12</v>
      </c>
      <c r="F46" s="123">
        <v>3494.16</v>
      </c>
      <c r="G46" s="123">
        <v>6.71</v>
      </c>
      <c r="H46" s="122">
        <f t="shared" si="6"/>
        <v>-12.749999999999964</v>
      </c>
      <c r="I46" s="123">
        <v>3101.43</v>
      </c>
      <c r="J46" s="122">
        <v>3149.02</v>
      </c>
      <c r="K46" s="123">
        <f t="shared" si="7"/>
        <v>-47.590000000000146</v>
      </c>
      <c r="L46" s="133">
        <f t="shared" si="10"/>
        <v>6643.18</v>
      </c>
      <c r="M46" s="122">
        <f t="shared" si="8"/>
        <v>-60.34000000000011</v>
      </c>
      <c r="N46" s="124">
        <f t="shared" si="9"/>
        <v>100.91569227033712</v>
      </c>
      <c r="O46" s="68"/>
    </row>
    <row r="47" spans="4:15" ht="13.5">
      <c r="D47" s="115" t="s">
        <v>215</v>
      </c>
      <c r="E47" s="123">
        <v>1747.4</v>
      </c>
      <c r="F47" s="122">
        <v>1745.56</v>
      </c>
      <c r="G47" s="123">
        <v>8.45</v>
      </c>
      <c r="H47" s="123">
        <f t="shared" si="6"/>
        <v>-6.609999999999854</v>
      </c>
      <c r="I47" s="123">
        <v>2999.98</v>
      </c>
      <c r="J47" s="122">
        <v>6.74</v>
      </c>
      <c r="K47" s="123">
        <f t="shared" si="7"/>
        <v>2993.2400000000002</v>
      </c>
      <c r="L47" s="134">
        <f t="shared" si="10"/>
        <v>1752.3</v>
      </c>
      <c r="M47" s="123">
        <f t="shared" si="8"/>
        <v>2986.6300000000006</v>
      </c>
      <c r="N47" s="124">
        <f t="shared" si="9"/>
        <v>37.088878497192134</v>
      </c>
      <c r="O47" s="68"/>
    </row>
    <row r="48" spans="4:15" ht="13.5">
      <c r="D48" s="115" t="s">
        <v>216</v>
      </c>
      <c r="E48" s="122">
        <v>133.99</v>
      </c>
      <c r="F48" s="123">
        <v>33.28</v>
      </c>
      <c r="G48" s="123">
        <v>0.21</v>
      </c>
      <c r="H48" s="123">
        <f t="shared" si="6"/>
        <v>100.50000000000001</v>
      </c>
      <c r="I48" s="122">
        <v>184.88</v>
      </c>
      <c r="J48" s="122">
        <v>64.66</v>
      </c>
      <c r="K48" s="122">
        <f t="shared" si="7"/>
        <v>120.22</v>
      </c>
      <c r="L48" s="133">
        <f t="shared" si="10"/>
        <v>97.94</v>
      </c>
      <c r="M48" s="122">
        <f t="shared" si="8"/>
        <v>220.72000000000003</v>
      </c>
      <c r="N48" s="124">
        <f t="shared" si="9"/>
        <v>30.780568883871172</v>
      </c>
      <c r="O48" s="68"/>
    </row>
    <row r="49" spans="4:15" ht="13.5">
      <c r="D49" s="115" t="s">
        <v>217</v>
      </c>
      <c r="E49" s="122">
        <v>133.52</v>
      </c>
      <c r="F49" s="122">
        <v>132.78</v>
      </c>
      <c r="G49" s="123">
        <v>0.87</v>
      </c>
      <c r="H49" s="123">
        <f>E49-F49-G49</f>
        <v>-0.1299999999999909</v>
      </c>
      <c r="I49" s="123">
        <v>7.8</v>
      </c>
      <c r="J49" s="123">
        <v>9.82</v>
      </c>
      <c r="K49" s="123">
        <f t="shared" si="7"/>
        <v>-2.0200000000000005</v>
      </c>
      <c r="L49" s="133">
        <f t="shared" si="10"/>
        <v>142.6</v>
      </c>
      <c r="M49" s="122">
        <f t="shared" si="8"/>
        <v>-2.1499999999999915</v>
      </c>
      <c r="N49" s="124">
        <f t="shared" si="9"/>
        <v>101.52136994056042</v>
      </c>
      <c r="O49" s="68"/>
    </row>
    <row r="50" spans="4:15" ht="13.5">
      <c r="D50" s="115" t="s">
        <v>218</v>
      </c>
      <c r="E50" s="122">
        <v>148.75</v>
      </c>
      <c r="F50" s="123">
        <v>96.49</v>
      </c>
      <c r="G50" s="122">
        <v>0.13</v>
      </c>
      <c r="H50" s="122">
        <f t="shared" si="6"/>
        <v>52.13</v>
      </c>
      <c r="I50" s="122">
        <v>80.63</v>
      </c>
      <c r="J50" s="122">
        <v>9.05</v>
      </c>
      <c r="K50" s="122">
        <f t="shared" si="7"/>
        <v>71.58</v>
      </c>
      <c r="L50" s="133">
        <f t="shared" si="10"/>
        <v>105.53999999999999</v>
      </c>
      <c r="M50" s="122">
        <f t="shared" si="8"/>
        <v>123.71000000000001</v>
      </c>
      <c r="N50" s="124">
        <f t="shared" si="9"/>
        <v>46.06766065044903</v>
      </c>
      <c r="O50" s="68"/>
    </row>
    <row r="51" spans="4:15" ht="13.5">
      <c r="D51" s="115" t="s">
        <v>219</v>
      </c>
      <c r="E51" s="123">
        <v>142.19</v>
      </c>
      <c r="F51" s="122">
        <v>37.36</v>
      </c>
      <c r="G51" s="123">
        <v>0.73</v>
      </c>
      <c r="H51" s="123">
        <f t="shared" si="6"/>
        <v>104.1</v>
      </c>
      <c r="I51" s="122">
        <v>35.24</v>
      </c>
      <c r="J51" s="123">
        <v>9.3</v>
      </c>
      <c r="K51" s="122">
        <f t="shared" si="7"/>
        <v>25.94</v>
      </c>
      <c r="L51" s="134">
        <f t="shared" si="10"/>
        <v>46.66</v>
      </c>
      <c r="M51" s="123">
        <f t="shared" si="8"/>
        <v>130.04</v>
      </c>
      <c r="N51" s="124">
        <f t="shared" si="9"/>
        <v>26.709124725243758</v>
      </c>
      <c r="O51" s="68"/>
    </row>
    <row r="52" spans="4:15" ht="13.5">
      <c r="D52" s="115" t="s">
        <v>220</v>
      </c>
      <c r="E52" s="123">
        <v>225.18</v>
      </c>
      <c r="F52" s="123">
        <v>167.03</v>
      </c>
      <c r="G52" s="122">
        <v>7.36</v>
      </c>
      <c r="H52" s="122">
        <f t="shared" si="6"/>
        <v>50.790000000000006</v>
      </c>
      <c r="I52" s="122">
        <v>77.95</v>
      </c>
      <c r="J52" s="122">
        <v>30.56</v>
      </c>
      <c r="K52" s="122">
        <f t="shared" si="7"/>
        <v>47.39</v>
      </c>
      <c r="L52" s="133">
        <f t="shared" si="10"/>
        <v>197.59</v>
      </c>
      <c r="M52" s="123">
        <f t="shared" si="8"/>
        <v>98.18</v>
      </c>
      <c r="N52" s="124">
        <f t="shared" si="9"/>
        <v>67.61125589680996</v>
      </c>
      <c r="O52" s="68"/>
    </row>
    <row r="53" spans="4:15" ht="13.5">
      <c r="D53" s="115" t="s">
        <v>221</v>
      </c>
      <c r="E53" s="122">
        <v>18249.09</v>
      </c>
      <c r="F53" s="123">
        <v>10089.36</v>
      </c>
      <c r="G53" s="122">
        <v>267.79</v>
      </c>
      <c r="H53" s="122">
        <f t="shared" si="6"/>
        <v>7891.94</v>
      </c>
      <c r="I53" s="122">
        <v>9239.89</v>
      </c>
      <c r="J53" s="123">
        <f>8526.33+6564</f>
        <v>15090.33</v>
      </c>
      <c r="K53" s="123">
        <f t="shared" si="7"/>
        <v>-5850.4400000000005</v>
      </c>
      <c r="L53" s="133">
        <f t="shared" si="10"/>
        <v>25179.690000000002</v>
      </c>
      <c r="M53" s="123">
        <f t="shared" si="8"/>
        <v>2041.499999999999</v>
      </c>
      <c r="N53" s="124">
        <f t="shared" si="9"/>
        <v>92.57338759022709</v>
      </c>
      <c r="O53" s="68"/>
    </row>
    <row r="54" spans="4:15" ht="13.5">
      <c r="D54" s="115" t="s">
        <v>222</v>
      </c>
      <c r="E54" s="122">
        <v>1145.94</v>
      </c>
      <c r="F54" s="123">
        <v>775.6</v>
      </c>
      <c r="G54" s="123">
        <v>7.95</v>
      </c>
      <c r="H54" s="123">
        <f t="shared" si="6"/>
        <v>362.39000000000004</v>
      </c>
      <c r="I54" s="123">
        <v>558.36</v>
      </c>
      <c r="J54" s="123">
        <v>161.42</v>
      </c>
      <c r="K54" s="123">
        <f t="shared" si="7"/>
        <v>396.94000000000005</v>
      </c>
      <c r="L54" s="134">
        <f t="shared" si="10"/>
        <v>937.02</v>
      </c>
      <c r="M54" s="123">
        <f t="shared" si="8"/>
        <v>759.3300000000002</v>
      </c>
      <c r="N54" s="124">
        <f t="shared" si="9"/>
        <v>55.4462242562929</v>
      </c>
      <c r="O54" s="68"/>
    </row>
    <row r="55" spans="4:15" ht="13.5">
      <c r="D55" s="115" t="s">
        <v>223</v>
      </c>
      <c r="E55" s="122">
        <v>93.27</v>
      </c>
      <c r="F55" s="123">
        <v>77.97</v>
      </c>
      <c r="G55" s="122"/>
      <c r="H55" s="123">
        <f t="shared" si="6"/>
        <v>15.299999999999997</v>
      </c>
      <c r="I55" s="122">
        <v>81.64</v>
      </c>
      <c r="J55" s="122">
        <v>82.61</v>
      </c>
      <c r="K55" s="122">
        <f t="shared" si="7"/>
        <v>-0.9699999999999989</v>
      </c>
      <c r="L55" s="134">
        <f>F55+J55</f>
        <v>160.57999999999998</v>
      </c>
      <c r="M55" s="122">
        <f t="shared" si="8"/>
        <v>14.329999999999998</v>
      </c>
      <c r="N55" s="124">
        <f t="shared" si="9"/>
        <v>91.80721513921445</v>
      </c>
      <c r="O55" s="68"/>
    </row>
    <row r="56" spans="4:15" ht="13.5">
      <c r="D56" s="115" t="s">
        <v>224</v>
      </c>
      <c r="E56" s="122">
        <v>58.91</v>
      </c>
      <c r="F56" s="123">
        <v>23.46</v>
      </c>
      <c r="G56" s="122">
        <v>0.24</v>
      </c>
      <c r="H56" s="123">
        <f t="shared" si="6"/>
        <v>35.209999999999994</v>
      </c>
      <c r="I56" s="123">
        <v>32.87</v>
      </c>
      <c r="J56" s="122"/>
      <c r="K56" s="123">
        <f t="shared" si="7"/>
        <v>32.87</v>
      </c>
      <c r="L56" s="133">
        <f t="shared" si="10"/>
        <v>23.46</v>
      </c>
      <c r="M56" s="122">
        <f t="shared" si="8"/>
        <v>68.07999999999998</v>
      </c>
      <c r="N56" s="124">
        <f t="shared" si="9"/>
        <v>25.82261930703857</v>
      </c>
      <c r="O56" s="68"/>
    </row>
    <row r="57" spans="4:15" ht="13.5">
      <c r="D57" s="115" t="s">
        <v>226</v>
      </c>
      <c r="E57" s="133">
        <f>SUM(E35:E56)</f>
        <v>31840.039999999997</v>
      </c>
      <c r="F57" s="133">
        <f aca="true" t="shared" si="11" ref="F57:M57">SUM(F35:F56)</f>
        <v>21728.72</v>
      </c>
      <c r="G57" s="133">
        <f t="shared" si="11"/>
        <v>522.97</v>
      </c>
      <c r="H57" s="133">
        <f t="shared" si="11"/>
        <v>9588.349999999997</v>
      </c>
      <c r="I57" s="133">
        <f t="shared" si="11"/>
        <v>18316.999999999996</v>
      </c>
      <c r="J57" s="133">
        <f t="shared" si="11"/>
        <v>19719.05</v>
      </c>
      <c r="K57" s="133">
        <f t="shared" si="11"/>
        <v>-1402.0500000000004</v>
      </c>
      <c r="L57" s="133">
        <f t="shared" si="10"/>
        <v>41447.770000000004</v>
      </c>
      <c r="M57" s="134">
        <f t="shared" si="11"/>
        <v>8186.3</v>
      </c>
      <c r="N57" s="138">
        <f t="shared" si="9"/>
        <v>83.6786620582076</v>
      </c>
      <c r="O57" s="68"/>
    </row>
    <row r="58" spans="4:15" ht="14.25" thickBot="1">
      <c r="D58" s="116" t="s">
        <v>227</v>
      </c>
      <c r="E58" s="126">
        <f>E29+E57</f>
        <v>118683.10999999999</v>
      </c>
      <c r="F58" s="126">
        <f aca="true" t="shared" si="12" ref="F58:K58">F29+F57</f>
        <v>80859.70999999999</v>
      </c>
      <c r="G58" s="126">
        <f t="shared" si="12"/>
        <v>2032.05</v>
      </c>
      <c r="H58" s="125">
        <f t="shared" si="12"/>
        <v>35791.34999999999</v>
      </c>
      <c r="I58" s="126">
        <f t="shared" si="12"/>
        <v>79610.28</v>
      </c>
      <c r="J58" s="125">
        <f t="shared" si="12"/>
        <v>42114.25</v>
      </c>
      <c r="K58" s="126">
        <f t="shared" si="12"/>
        <v>37496.03</v>
      </c>
      <c r="L58" s="146">
        <f>F58+J58</f>
        <v>122973.95999999999</v>
      </c>
      <c r="M58" s="126">
        <f>M29+M57</f>
        <v>73287.37999999999</v>
      </c>
      <c r="N58" s="127">
        <f t="shared" si="9"/>
        <v>63.04093646288462</v>
      </c>
      <c r="O58" s="68"/>
    </row>
    <row r="59" spans="4:15" ht="14.25" thickTop="1">
      <c r="D59" s="139"/>
      <c r="E59" s="140"/>
      <c r="F59" s="140"/>
      <c r="G59" s="140"/>
      <c r="H59" s="118"/>
      <c r="I59" s="140"/>
      <c r="J59" s="118"/>
      <c r="K59" s="140"/>
      <c r="L59" s="140"/>
      <c r="M59" s="140"/>
      <c r="N59" s="140"/>
      <c r="O59" s="68"/>
    </row>
    <row r="60" spans="4:15" ht="13.5">
      <c r="D60" s="139"/>
      <c r="E60" s="140"/>
      <c r="F60" s="140"/>
      <c r="G60" s="140"/>
      <c r="H60" s="118"/>
      <c r="I60" s="140"/>
      <c r="J60" s="118"/>
      <c r="K60" s="140"/>
      <c r="L60" s="140"/>
      <c r="M60" s="140"/>
      <c r="N60" s="140"/>
      <c r="O60" s="68"/>
    </row>
    <row r="61" spans="4:15" ht="13.5">
      <c r="D61" s="139"/>
      <c r="E61" s="140"/>
      <c r="F61" s="140"/>
      <c r="G61" s="140"/>
      <c r="H61" s="118"/>
      <c r="I61" s="140"/>
      <c r="J61" s="118"/>
      <c r="K61" s="140"/>
      <c r="L61" s="140"/>
      <c r="M61" s="140"/>
      <c r="N61" s="140"/>
      <c r="O61" s="68"/>
    </row>
    <row r="62" spans="4:15" ht="13.5">
      <c r="D62" s="139"/>
      <c r="E62" s="140"/>
      <c r="F62" s="140"/>
      <c r="G62" s="140"/>
      <c r="H62" s="118"/>
      <c r="I62" s="140"/>
      <c r="J62" s="118"/>
      <c r="K62" s="140"/>
      <c r="L62" s="140"/>
      <c r="M62" s="140"/>
      <c r="N62" s="140"/>
      <c r="O62" s="68"/>
    </row>
    <row r="63" spans="4:15" ht="15.75">
      <c r="D63" s="170" t="s">
        <v>48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68"/>
    </row>
    <row r="64" spans="4:15" ht="13.5">
      <c r="D64" s="169" t="s">
        <v>239</v>
      </c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68"/>
    </row>
    <row r="65" spans="4:15" ht="13.5">
      <c r="D65" s="139"/>
      <c r="E65" s="140"/>
      <c r="F65" s="140"/>
      <c r="G65" s="140"/>
      <c r="H65" s="118"/>
      <c r="I65" s="140"/>
      <c r="J65" s="118"/>
      <c r="K65" s="140"/>
      <c r="L65" s="140"/>
      <c r="M65" s="140"/>
      <c r="N65" s="140"/>
      <c r="O65" s="68"/>
    </row>
    <row r="66" spans="4:15" ht="14.25" thickBot="1">
      <c r="D66" s="157" t="s">
        <v>241</v>
      </c>
      <c r="E66" s="140"/>
      <c r="F66" s="140"/>
      <c r="G66" s="140"/>
      <c r="H66" s="118"/>
      <c r="I66" s="140"/>
      <c r="J66" s="118"/>
      <c r="K66" s="140"/>
      <c r="L66" s="140"/>
      <c r="M66" s="140"/>
      <c r="N66" s="140"/>
      <c r="O66" s="68"/>
    </row>
    <row r="67" spans="4:15" ht="54.75" thickTop="1">
      <c r="D67" s="119" t="s">
        <v>189</v>
      </c>
      <c r="E67" s="120" t="s">
        <v>188</v>
      </c>
      <c r="F67" s="120" t="s">
        <v>186</v>
      </c>
      <c r="G67" s="120" t="s">
        <v>190</v>
      </c>
      <c r="H67" s="120" t="s">
        <v>191</v>
      </c>
      <c r="I67" s="120" t="s">
        <v>192</v>
      </c>
      <c r="J67" s="120" t="s">
        <v>193</v>
      </c>
      <c r="K67" s="120" t="s">
        <v>194</v>
      </c>
      <c r="L67" s="120" t="s">
        <v>195</v>
      </c>
      <c r="M67" s="120" t="s">
        <v>196</v>
      </c>
      <c r="N67" s="121" t="s">
        <v>198</v>
      </c>
      <c r="O67" s="68"/>
    </row>
    <row r="68" spans="4:15" ht="13.5">
      <c r="D68" s="115" t="s">
        <v>203</v>
      </c>
      <c r="E68" s="122">
        <f aca="true" t="shared" si="13" ref="E68:G74">E7+E35</f>
        <v>2626.39</v>
      </c>
      <c r="F68" s="122">
        <f t="shared" si="13"/>
        <v>1692.47</v>
      </c>
      <c r="G68" s="122">
        <f t="shared" si="13"/>
        <v>39.36</v>
      </c>
      <c r="H68" s="122">
        <f aca="true" t="shared" si="14" ref="H68:H81">E68-F68-G68</f>
        <v>894.5599999999998</v>
      </c>
      <c r="I68" s="122">
        <f aca="true" t="shared" si="15" ref="I68:J74">I7+I35</f>
        <v>2756.46</v>
      </c>
      <c r="J68" s="122">
        <f t="shared" si="15"/>
        <v>1355.63</v>
      </c>
      <c r="K68" s="123">
        <f aca="true" t="shared" si="16" ref="K68:K89">I68-J68</f>
        <v>1400.83</v>
      </c>
      <c r="L68" s="134">
        <f>F68+J68</f>
        <v>3048.1000000000004</v>
      </c>
      <c r="M68" s="122">
        <f aca="true" t="shared" si="17" ref="M68:M89">H68+K68</f>
        <v>2295.39</v>
      </c>
      <c r="N68" s="124">
        <f aca="true" t="shared" si="18" ref="N68:N77">(F68+G68+J68)/(E68+I68)%</f>
        <v>57.35734787333847</v>
      </c>
      <c r="O68" s="68"/>
    </row>
    <row r="69" spans="4:15" ht="13.5">
      <c r="D69" s="115" t="s">
        <v>204</v>
      </c>
      <c r="E69" s="123">
        <f t="shared" si="13"/>
        <v>2086.92</v>
      </c>
      <c r="F69" s="123">
        <f t="shared" si="13"/>
        <v>1547.06</v>
      </c>
      <c r="G69" s="123">
        <f t="shared" si="13"/>
        <v>42.51</v>
      </c>
      <c r="H69" s="122">
        <f t="shared" si="14"/>
        <v>497.35000000000014</v>
      </c>
      <c r="I69" s="123">
        <f t="shared" si="15"/>
        <v>1242.48</v>
      </c>
      <c r="J69" s="123">
        <f t="shared" si="15"/>
        <v>535.19</v>
      </c>
      <c r="K69" s="122">
        <f t="shared" si="16"/>
        <v>707.29</v>
      </c>
      <c r="L69" s="133">
        <f aca="true" t="shared" si="19" ref="L69:L87">F69+J69</f>
        <v>2082.25</v>
      </c>
      <c r="M69" s="122">
        <f t="shared" si="17"/>
        <v>1204.64</v>
      </c>
      <c r="N69" s="124">
        <f t="shared" si="18"/>
        <v>63.81810536432991</v>
      </c>
      <c r="O69" s="68"/>
    </row>
    <row r="70" spans="4:15" ht="13.5">
      <c r="D70" s="115" t="s">
        <v>205</v>
      </c>
      <c r="E70" s="122">
        <f t="shared" si="13"/>
        <v>2181.79</v>
      </c>
      <c r="F70" s="122">
        <f t="shared" si="13"/>
        <v>1488.15</v>
      </c>
      <c r="G70" s="123">
        <f t="shared" si="13"/>
        <v>36.699999999999996</v>
      </c>
      <c r="H70" s="123">
        <f t="shared" si="14"/>
        <v>656.9399999999998</v>
      </c>
      <c r="I70" s="122">
        <f t="shared" si="15"/>
        <v>1434.03</v>
      </c>
      <c r="J70" s="123">
        <f t="shared" si="15"/>
        <v>585.18</v>
      </c>
      <c r="K70" s="123">
        <f t="shared" si="16"/>
        <v>848.85</v>
      </c>
      <c r="L70" s="134">
        <f t="shared" si="19"/>
        <v>2073.33</v>
      </c>
      <c r="M70" s="122">
        <f t="shared" si="17"/>
        <v>1505.79</v>
      </c>
      <c r="N70" s="124">
        <f t="shared" si="18"/>
        <v>58.35550442223342</v>
      </c>
      <c r="O70" s="68"/>
    </row>
    <row r="71" spans="4:15" ht="13.5">
      <c r="D71" s="115" t="s">
        <v>206</v>
      </c>
      <c r="E71" s="122">
        <f t="shared" si="13"/>
        <v>3002.0299999999997</v>
      </c>
      <c r="F71" s="122">
        <f t="shared" si="13"/>
        <v>2076.18</v>
      </c>
      <c r="G71" s="122">
        <f t="shared" si="13"/>
        <v>65.91</v>
      </c>
      <c r="H71" s="123">
        <f t="shared" si="14"/>
        <v>859.9399999999999</v>
      </c>
      <c r="I71" s="123">
        <f t="shared" si="15"/>
        <v>2233.2999999999997</v>
      </c>
      <c r="J71" s="122">
        <f t="shared" si="15"/>
        <v>893.51</v>
      </c>
      <c r="K71" s="123">
        <f t="shared" si="16"/>
        <v>1339.7899999999997</v>
      </c>
      <c r="L71" s="133">
        <f t="shared" si="19"/>
        <v>2969.6899999999996</v>
      </c>
      <c r="M71" s="123">
        <f t="shared" si="17"/>
        <v>2199.7299999999996</v>
      </c>
      <c r="N71" s="124">
        <f t="shared" si="18"/>
        <v>57.9829733751263</v>
      </c>
      <c r="O71" s="68"/>
    </row>
    <row r="72" spans="4:15" ht="13.5">
      <c r="D72" s="115" t="s">
        <v>207</v>
      </c>
      <c r="E72" s="123">
        <f t="shared" si="13"/>
        <v>3109.66</v>
      </c>
      <c r="F72" s="123">
        <f t="shared" si="13"/>
        <v>1349.26</v>
      </c>
      <c r="G72" s="123">
        <f t="shared" si="13"/>
        <v>28.39</v>
      </c>
      <c r="H72" s="122">
        <f t="shared" si="14"/>
        <v>1732.0099999999998</v>
      </c>
      <c r="I72" s="123">
        <f t="shared" si="15"/>
        <v>4927.38</v>
      </c>
      <c r="J72" s="123">
        <f t="shared" si="15"/>
        <v>719.58</v>
      </c>
      <c r="K72" s="123">
        <f t="shared" si="16"/>
        <v>4207.8</v>
      </c>
      <c r="L72" s="134">
        <f t="shared" si="19"/>
        <v>2068.84</v>
      </c>
      <c r="M72" s="123">
        <f t="shared" si="17"/>
        <v>5939.8099999999995</v>
      </c>
      <c r="N72" s="124">
        <f t="shared" si="18"/>
        <v>26.094557200163244</v>
      </c>
      <c r="O72" s="68"/>
    </row>
    <row r="73" spans="4:15" ht="13.5">
      <c r="D73" s="115" t="s">
        <v>208</v>
      </c>
      <c r="E73" s="123">
        <f t="shared" si="13"/>
        <v>2231.01</v>
      </c>
      <c r="F73" s="123">
        <f t="shared" si="13"/>
        <v>1671.04</v>
      </c>
      <c r="G73" s="123">
        <f t="shared" si="13"/>
        <v>46.13</v>
      </c>
      <c r="H73" s="123">
        <f t="shared" si="14"/>
        <v>513.8400000000003</v>
      </c>
      <c r="I73" s="123">
        <f t="shared" si="15"/>
        <v>1476.74</v>
      </c>
      <c r="J73" s="123">
        <f t="shared" si="15"/>
        <v>635.39</v>
      </c>
      <c r="K73" s="123">
        <f t="shared" si="16"/>
        <v>841.35</v>
      </c>
      <c r="L73" s="134">
        <f t="shared" si="19"/>
        <v>2306.43</v>
      </c>
      <c r="M73" s="123">
        <f t="shared" si="17"/>
        <v>1355.1900000000003</v>
      </c>
      <c r="N73" s="124">
        <f t="shared" si="18"/>
        <v>63.44980109230665</v>
      </c>
      <c r="O73" s="68"/>
    </row>
    <row r="74" spans="4:15" ht="13.5">
      <c r="D74" s="115" t="s">
        <v>209</v>
      </c>
      <c r="E74" s="123">
        <f t="shared" si="13"/>
        <v>608.57</v>
      </c>
      <c r="F74" s="123">
        <f t="shared" si="13"/>
        <v>358.24</v>
      </c>
      <c r="G74" s="123">
        <f t="shared" si="13"/>
        <v>7.99</v>
      </c>
      <c r="H74" s="123">
        <f t="shared" si="14"/>
        <v>242.34000000000003</v>
      </c>
      <c r="I74" s="123">
        <f t="shared" si="15"/>
        <v>644.76</v>
      </c>
      <c r="J74" s="123">
        <f t="shared" si="15"/>
        <v>260.69</v>
      </c>
      <c r="K74" s="122">
        <f t="shared" si="16"/>
        <v>384.07</v>
      </c>
      <c r="L74" s="133">
        <f t="shared" si="19"/>
        <v>618.9300000000001</v>
      </c>
      <c r="M74" s="122">
        <f t="shared" si="17"/>
        <v>626.4100000000001</v>
      </c>
      <c r="N74" s="124">
        <f t="shared" si="18"/>
        <v>50.02034579879203</v>
      </c>
      <c r="O74" s="68"/>
    </row>
    <row r="75" spans="4:15" ht="13.5">
      <c r="D75" s="115" t="s">
        <v>210</v>
      </c>
      <c r="E75" s="123">
        <f>E42+E14</f>
        <v>2155.44</v>
      </c>
      <c r="F75" s="123">
        <f>F42+F14</f>
        <v>1451.24</v>
      </c>
      <c r="G75" s="123">
        <f>G42+G14</f>
        <v>46.97</v>
      </c>
      <c r="H75" s="122">
        <f t="shared" si="14"/>
        <v>657.23</v>
      </c>
      <c r="I75" s="123">
        <f>I42+I14</f>
        <v>1517.55</v>
      </c>
      <c r="J75" s="123">
        <f>J42+J14</f>
        <v>552.05</v>
      </c>
      <c r="K75" s="123">
        <f t="shared" si="16"/>
        <v>965.5</v>
      </c>
      <c r="L75" s="133">
        <f t="shared" si="19"/>
        <v>2003.29</v>
      </c>
      <c r="M75" s="123">
        <f t="shared" si="17"/>
        <v>1622.73</v>
      </c>
      <c r="N75" s="124">
        <f t="shared" si="18"/>
        <v>55.81991783261049</v>
      </c>
      <c r="O75" s="68"/>
    </row>
    <row r="76" spans="4:15" ht="13.5">
      <c r="D76" s="115" t="s">
        <v>211</v>
      </c>
      <c r="E76" s="123">
        <f aca="true" t="shared" si="20" ref="E76:G82">E15+E43</f>
        <v>404.05</v>
      </c>
      <c r="F76" s="123">
        <f t="shared" si="20"/>
        <v>215.48999999999998</v>
      </c>
      <c r="G76" s="123">
        <f t="shared" si="20"/>
        <v>4.89</v>
      </c>
      <c r="H76" s="123">
        <f t="shared" si="14"/>
        <v>183.67000000000004</v>
      </c>
      <c r="I76" s="123">
        <f aca="true" t="shared" si="21" ref="I76:J82">I15+I43</f>
        <v>262.75</v>
      </c>
      <c r="J76" s="123">
        <f t="shared" si="21"/>
        <v>76.87</v>
      </c>
      <c r="K76" s="123">
        <f t="shared" si="16"/>
        <v>185.88</v>
      </c>
      <c r="L76" s="134">
        <f t="shared" si="19"/>
        <v>292.36</v>
      </c>
      <c r="M76" s="123">
        <f t="shared" si="17"/>
        <v>369.55000000000007</v>
      </c>
      <c r="N76" s="124">
        <f t="shared" si="18"/>
        <v>44.57858428314338</v>
      </c>
      <c r="O76" s="68"/>
    </row>
    <row r="77" spans="4:15" ht="13.5">
      <c r="D77" s="115" t="s">
        <v>212</v>
      </c>
      <c r="E77" s="123">
        <f t="shared" si="20"/>
        <v>1195.38</v>
      </c>
      <c r="F77" s="123">
        <f t="shared" si="20"/>
        <v>791.64</v>
      </c>
      <c r="G77" s="123">
        <f t="shared" si="20"/>
        <v>17.26</v>
      </c>
      <c r="H77" s="123">
        <f t="shared" si="14"/>
        <v>386.48000000000013</v>
      </c>
      <c r="I77" s="123">
        <f t="shared" si="21"/>
        <v>846.19</v>
      </c>
      <c r="J77" s="123">
        <f t="shared" si="21"/>
        <v>203.14</v>
      </c>
      <c r="K77" s="123">
        <f t="shared" si="16"/>
        <v>643.0500000000001</v>
      </c>
      <c r="L77" s="134">
        <f t="shared" si="19"/>
        <v>994.78</v>
      </c>
      <c r="M77" s="123">
        <f t="shared" si="17"/>
        <v>1029.5300000000002</v>
      </c>
      <c r="N77" s="124">
        <f t="shared" si="18"/>
        <v>49.57165318847749</v>
      </c>
      <c r="O77" s="68"/>
    </row>
    <row r="78" spans="4:15" ht="13.5">
      <c r="D78" s="115" t="s">
        <v>213</v>
      </c>
      <c r="E78" s="122">
        <f t="shared" si="20"/>
        <v>10797.25</v>
      </c>
      <c r="F78" s="122">
        <f t="shared" si="20"/>
        <v>7778.84</v>
      </c>
      <c r="G78" s="122">
        <f t="shared" si="20"/>
        <v>296.82</v>
      </c>
      <c r="H78" s="123">
        <f t="shared" si="14"/>
        <v>2721.5899999999997</v>
      </c>
      <c r="I78" s="122">
        <f t="shared" si="21"/>
        <v>6520.4400000000005</v>
      </c>
      <c r="J78" s="122">
        <f t="shared" si="21"/>
        <v>1990.88</v>
      </c>
      <c r="K78" s="122">
        <f t="shared" si="16"/>
        <v>4529.56</v>
      </c>
      <c r="L78" s="133">
        <f t="shared" si="19"/>
        <v>9769.720000000001</v>
      </c>
      <c r="M78" s="123">
        <f t="shared" si="17"/>
        <v>7251.15</v>
      </c>
      <c r="N78" s="124">
        <f>(F78+G78+J78)/(E78+I78)%</f>
        <v>58.12865341740151</v>
      </c>
      <c r="O78" s="68"/>
    </row>
    <row r="79" spans="4:15" ht="13.5">
      <c r="D79" s="115" t="s">
        <v>214</v>
      </c>
      <c r="E79" s="123">
        <f t="shared" si="20"/>
        <v>9877.98</v>
      </c>
      <c r="F79" s="123">
        <f t="shared" si="20"/>
        <v>7720.36</v>
      </c>
      <c r="G79" s="123">
        <f t="shared" si="20"/>
        <v>141.17000000000002</v>
      </c>
      <c r="H79" s="122">
        <f t="shared" si="14"/>
        <v>2016.4499999999998</v>
      </c>
      <c r="I79" s="123">
        <f t="shared" si="21"/>
        <v>7905.65</v>
      </c>
      <c r="J79" s="123">
        <f t="shared" si="21"/>
        <v>4898.09</v>
      </c>
      <c r="K79" s="123">
        <f t="shared" si="16"/>
        <v>3007.5599999999995</v>
      </c>
      <c r="L79" s="133">
        <f t="shared" si="19"/>
        <v>12618.45</v>
      </c>
      <c r="M79" s="123">
        <f t="shared" si="17"/>
        <v>5024.009999999999</v>
      </c>
      <c r="N79" s="124">
        <f aca="true" t="shared" si="22" ref="N79:N90">(F79+G79+J79)/(E79+I79)%</f>
        <v>71.74924354589025</v>
      </c>
      <c r="O79" s="68"/>
    </row>
    <row r="80" spans="4:15" ht="13.5">
      <c r="D80" s="115" t="s">
        <v>215</v>
      </c>
      <c r="E80" s="123">
        <f t="shared" si="20"/>
        <v>4680.6</v>
      </c>
      <c r="F80" s="123">
        <f t="shared" si="20"/>
        <v>3877.11</v>
      </c>
      <c r="G80" s="123">
        <f t="shared" si="20"/>
        <v>63.730000000000004</v>
      </c>
      <c r="H80" s="123">
        <f t="shared" si="14"/>
        <v>739.7600000000002</v>
      </c>
      <c r="I80" s="123">
        <f t="shared" si="21"/>
        <v>5284.75</v>
      </c>
      <c r="J80" s="123">
        <f t="shared" si="21"/>
        <v>994.96</v>
      </c>
      <c r="K80" s="123">
        <f t="shared" si="16"/>
        <v>4289.79</v>
      </c>
      <c r="L80" s="134">
        <f t="shared" si="19"/>
        <v>4872.07</v>
      </c>
      <c r="M80" s="123">
        <f t="shared" si="17"/>
        <v>5029.55</v>
      </c>
      <c r="N80" s="124">
        <f t="shared" si="22"/>
        <v>49.52962013376349</v>
      </c>
      <c r="O80" s="68"/>
    </row>
    <row r="81" spans="4:15" ht="13.5">
      <c r="D81" s="115" t="s">
        <v>216</v>
      </c>
      <c r="E81" s="122">
        <f t="shared" si="20"/>
        <v>452.23</v>
      </c>
      <c r="F81" s="122">
        <f t="shared" si="20"/>
        <v>213.64000000000001</v>
      </c>
      <c r="G81" s="122">
        <f t="shared" si="20"/>
        <v>2.9899999999999998</v>
      </c>
      <c r="H81" s="122">
        <f t="shared" si="14"/>
        <v>235.6</v>
      </c>
      <c r="I81" s="122">
        <f t="shared" si="21"/>
        <v>483.04</v>
      </c>
      <c r="J81" s="122">
        <f t="shared" si="21"/>
        <v>162.43</v>
      </c>
      <c r="K81" s="123">
        <f t="shared" si="16"/>
        <v>320.61</v>
      </c>
      <c r="L81" s="134">
        <f t="shared" si="19"/>
        <v>376.07000000000005</v>
      </c>
      <c r="M81" s="123">
        <f t="shared" si="17"/>
        <v>556.21</v>
      </c>
      <c r="N81" s="124">
        <f t="shared" si="22"/>
        <v>40.529472772568354</v>
      </c>
      <c r="O81" s="68"/>
    </row>
    <row r="82" spans="4:15" ht="13.5">
      <c r="D82" s="115" t="s">
        <v>217</v>
      </c>
      <c r="E82" s="123">
        <f t="shared" si="20"/>
        <v>1405.6299999999999</v>
      </c>
      <c r="F82" s="123">
        <f t="shared" si="20"/>
        <v>1080.26</v>
      </c>
      <c r="G82" s="123">
        <f t="shared" si="20"/>
        <v>30.630000000000003</v>
      </c>
      <c r="H82" s="123">
        <f>E82-F82-G82</f>
        <v>294.7399999999999</v>
      </c>
      <c r="I82" s="123">
        <f t="shared" si="21"/>
        <v>625.24</v>
      </c>
      <c r="J82" s="123">
        <f t="shared" si="21"/>
        <v>244.70999999999998</v>
      </c>
      <c r="K82" s="123">
        <f t="shared" si="16"/>
        <v>380.53000000000003</v>
      </c>
      <c r="L82" s="133">
        <f t="shared" si="19"/>
        <v>1324.97</v>
      </c>
      <c r="M82" s="122">
        <f t="shared" si="17"/>
        <v>675.27</v>
      </c>
      <c r="N82" s="124">
        <f t="shared" si="22"/>
        <v>66.7497181011094</v>
      </c>
      <c r="O82" s="68"/>
    </row>
    <row r="83" spans="4:15" ht="13.5">
      <c r="D83" s="115" t="s">
        <v>218</v>
      </c>
      <c r="E83" s="122">
        <f>E50+E22</f>
        <v>1470.05</v>
      </c>
      <c r="F83" s="122">
        <f>F50+F22</f>
        <v>1048.34</v>
      </c>
      <c r="G83" s="122">
        <f>G50+G22</f>
        <v>27.24</v>
      </c>
      <c r="H83" s="122">
        <f aca="true" t="shared" si="23" ref="H83:H89">E83-F83-G83</f>
        <v>394.47</v>
      </c>
      <c r="I83" s="122">
        <f>I50+I22</f>
        <v>1032.31</v>
      </c>
      <c r="J83" s="122">
        <f>J50+J22</f>
        <v>434.08</v>
      </c>
      <c r="K83" s="122">
        <f t="shared" si="16"/>
        <v>598.23</v>
      </c>
      <c r="L83" s="133">
        <f t="shared" si="19"/>
        <v>1482.4199999999998</v>
      </c>
      <c r="M83" s="122">
        <f t="shared" si="17"/>
        <v>992.7</v>
      </c>
      <c r="N83" s="124">
        <f t="shared" si="22"/>
        <v>60.32944900014386</v>
      </c>
      <c r="O83" s="68"/>
    </row>
    <row r="84" spans="4:15" ht="13.5">
      <c r="D84" s="115" t="s">
        <v>219</v>
      </c>
      <c r="E84" s="123">
        <f aca="true" t="shared" si="24" ref="E84:G89">E23+E51</f>
        <v>2768.1</v>
      </c>
      <c r="F84" s="123">
        <f t="shared" si="24"/>
        <v>1907.6499999999999</v>
      </c>
      <c r="G84" s="123">
        <f t="shared" si="24"/>
        <v>52.599999999999994</v>
      </c>
      <c r="H84" s="123">
        <f t="shared" si="23"/>
        <v>807.85</v>
      </c>
      <c r="I84" s="123">
        <f aca="true" t="shared" si="25" ref="I84:J89">I23+I51</f>
        <v>1764.74</v>
      </c>
      <c r="J84" s="123">
        <f t="shared" si="25"/>
        <v>524.0999999999999</v>
      </c>
      <c r="K84" s="122">
        <f t="shared" si="16"/>
        <v>1240.64</v>
      </c>
      <c r="L84" s="134">
        <f t="shared" si="19"/>
        <v>2431.75</v>
      </c>
      <c r="M84" s="123">
        <f t="shared" si="17"/>
        <v>2048.4900000000002</v>
      </c>
      <c r="N84" s="124">
        <f t="shared" si="22"/>
        <v>54.80780261381384</v>
      </c>
      <c r="O84" s="68"/>
    </row>
    <row r="85" spans="4:15" ht="13.5">
      <c r="D85" s="115" t="s">
        <v>220</v>
      </c>
      <c r="E85" s="123">
        <f t="shared" si="24"/>
        <v>1996.68</v>
      </c>
      <c r="F85" s="123">
        <f t="shared" si="24"/>
        <v>1531.66</v>
      </c>
      <c r="G85" s="123">
        <f t="shared" si="24"/>
        <v>56.21</v>
      </c>
      <c r="H85" s="122">
        <f t="shared" si="23"/>
        <v>408.81</v>
      </c>
      <c r="I85" s="123">
        <f t="shared" si="25"/>
        <v>735.5</v>
      </c>
      <c r="J85" s="123">
        <f t="shared" si="25"/>
        <v>282.96</v>
      </c>
      <c r="K85" s="122">
        <f t="shared" si="16"/>
        <v>452.54</v>
      </c>
      <c r="L85" s="133">
        <f t="shared" si="19"/>
        <v>1814.6200000000001</v>
      </c>
      <c r="M85" s="122">
        <f t="shared" si="17"/>
        <v>861.35</v>
      </c>
      <c r="N85" s="124">
        <f t="shared" si="22"/>
        <v>68.47389264250525</v>
      </c>
      <c r="O85" s="68"/>
    </row>
    <row r="86" spans="4:15" ht="13.5">
      <c r="D86" s="115" t="s">
        <v>221</v>
      </c>
      <c r="E86" s="123">
        <f t="shared" si="24"/>
        <v>53398.399999999994</v>
      </c>
      <c r="F86" s="123">
        <f t="shared" si="24"/>
        <v>34857.76</v>
      </c>
      <c r="G86" s="123">
        <f t="shared" si="24"/>
        <v>818.0999999999999</v>
      </c>
      <c r="H86" s="122">
        <f t="shared" si="23"/>
        <v>17722.539999999994</v>
      </c>
      <c r="I86" s="123">
        <f t="shared" si="25"/>
        <v>28427.19</v>
      </c>
      <c r="J86" s="123">
        <f t="shared" si="25"/>
        <v>23953.08</v>
      </c>
      <c r="K86" s="123">
        <f t="shared" si="16"/>
        <v>4474.109999999997</v>
      </c>
      <c r="L86" s="133">
        <f t="shared" si="19"/>
        <v>58810.840000000004</v>
      </c>
      <c r="M86" s="123">
        <f t="shared" si="17"/>
        <v>22196.64999999999</v>
      </c>
      <c r="N86" s="124">
        <f t="shared" si="22"/>
        <v>72.87321729058111</v>
      </c>
      <c r="O86" s="68"/>
    </row>
    <row r="87" spans="4:15" ht="13.5">
      <c r="D87" s="115" t="s">
        <v>222</v>
      </c>
      <c r="E87" s="123">
        <f t="shared" si="24"/>
        <v>8312.41</v>
      </c>
      <c r="F87" s="123">
        <f t="shared" si="24"/>
        <v>5731.1</v>
      </c>
      <c r="G87" s="123">
        <f t="shared" si="24"/>
        <v>145.29</v>
      </c>
      <c r="H87" s="123">
        <f t="shared" si="23"/>
        <v>2436.0199999999995</v>
      </c>
      <c r="I87" s="123">
        <f t="shared" si="25"/>
        <v>5698.12</v>
      </c>
      <c r="J87" s="123">
        <f t="shared" si="25"/>
        <v>1697.97</v>
      </c>
      <c r="K87" s="123">
        <f t="shared" si="16"/>
        <v>4000.1499999999996</v>
      </c>
      <c r="L87" s="134">
        <f t="shared" si="19"/>
        <v>7429.070000000001</v>
      </c>
      <c r="M87" s="123">
        <f t="shared" si="17"/>
        <v>6436.169999999999</v>
      </c>
      <c r="N87" s="124">
        <f t="shared" si="22"/>
        <v>54.061909149760936</v>
      </c>
      <c r="O87" s="68"/>
    </row>
    <row r="88" spans="4:15" ht="13.5">
      <c r="D88" s="115" t="s">
        <v>223</v>
      </c>
      <c r="E88" s="122">
        <f t="shared" si="24"/>
        <v>782.5</v>
      </c>
      <c r="F88" s="122">
        <f t="shared" si="24"/>
        <v>508.49</v>
      </c>
      <c r="G88" s="123">
        <f t="shared" si="24"/>
        <v>9.5</v>
      </c>
      <c r="H88" s="123">
        <f t="shared" si="23"/>
        <v>264.51</v>
      </c>
      <c r="I88" s="122">
        <f t="shared" si="25"/>
        <v>829.17</v>
      </c>
      <c r="J88" s="122">
        <f t="shared" si="25"/>
        <v>358.29</v>
      </c>
      <c r="K88" s="122">
        <f t="shared" si="16"/>
        <v>470.87999999999994</v>
      </c>
      <c r="L88" s="134">
        <f>F88+J88</f>
        <v>866.78</v>
      </c>
      <c r="M88" s="122">
        <f t="shared" si="17"/>
        <v>735.3899999999999</v>
      </c>
      <c r="N88" s="124">
        <f t="shared" si="22"/>
        <v>54.37093201461837</v>
      </c>
      <c r="O88" s="68"/>
    </row>
    <row r="89" spans="4:15" ht="13.5">
      <c r="D89" s="115" t="s">
        <v>224</v>
      </c>
      <c r="E89" s="123">
        <f t="shared" si="24"/>
        <v>3140.04</v>
      </c>
      <c r="F89" s="123">
        <f t="shared" si="24"/>
        <v>1963.73</v>
      </c>
      <c r="G89" s="123">
        <f t="shared" si="24"/>
        <v>51.660000000000004</v>
      </c>
      <c r="H89" s="123">
        <f t="shared" si="23"/>
        <v>1124.6499999999999</v>
      </c>
      <c r="I89" s="123">
        <f t="shared" si="25"/>
        <v>2962.49</v>
      </c>
      <c r="J89" s="123">
        <f t="shared" si="25"/>
        <v>755.47</v>
      </c>
      <c r="K89" s="123">
        <f t="shared" si="16"/>
        <v>2207.0199999999995</v>
      </c>
      <c r="L89" s="133">
        <f>F89+J89</f>
        <v>2719.2</v>
      </c>
      <c r="M89" s="122">
        <f t="shared" si="17"/>
        <v>3331.669999999999</v>
      </c>
      <c r="N89" s="124">
        <f t="shared" si="22"/>
        <v>45.40510247389198</v>
      </c>
      <c r="O89" s="68"/>
    </row>
    <row r="90" spans="4:15" ht="14.25" thickBot="1">
      <c r="D90" s="147" t="s">
        <v>233</v>
      </c>
      <c r="E90" s="126">
        <f>SUM(E68:E89)</f>
        <v>118683.11</v>
      </c>
      <c r="F90" s="126">
        <f aca="true" t="shared" si="26" ref="F90:M90">SUM(F68:F89)</f>
        <v>80859.71000000002</v>
      </c>
      <c r="G90" s="126">
        <f t="shared" si="26"/>
        <v>2032.0500000000002</v>
      </c>
      <c r="H90" s="126">
        <f t="shared" si="26"/>
        <v>35791.34999999999</v>
      </c>
      <c r="I90" s="126">
        <f t="shared" si="26"/>
        <v>79610.28</v>
      </c>
      <c r="J90" s="126">
        <f t="shared" si="26"/>
        <v>42114.25000000001</v>
      </c>
      <c r="K90" s="126">
        <f t="shared" si="26"/>
        <v>37496.02999999999</v>
      </c>
      <c r="L90" s="146">
        <f>SUM(L68:L89)</f>
        <v>122973.96</v>
      </c>
      <c r="M90" s="126">
        <f t="shared" si="26"/>
        <v>73287.37999999998</v>
      </c>
      <c r="N90" s="127">
        <f t="shared" si="22"/>
        <v>63.04093646288463</v>
      </c>
      <c r="O90" s="68"/>
    </row>
    <row r="91" spans="4:15" ht="14.25" thickTop="1">
      <c r="D91" s="139"/>
      <c r="E91" s="140"/>
      <c r="F91" s="140"/>
      <c r="G91" s="140"/>
      <c r="H91" s="118"/>
      <c r="I91" s="140"/>
      <c r="J91" s="118"/>
      <c r="K91" s="140"/>
      <c r="L91" s="140"/>
      <c r="M91" s="140"/>
      <c r="N91" s="140"/>
      <c r="O91" s="68"/>
    </row>
    <row r="92" spans="4:15" ht="13.5">
      <c r="D92" s="144" t="s">
        <v>231</v>
      </c>
      <c r="E92" s="140"/>
      <c r="F92" s="140"/>
      <c r="G92" s="140"/>
      <c r="H92" s="118"/>
      <c r="I92" s="140"/>
      <c r="J92" s="118"/>
      <c r="K92" s="140"/>
      <c r="L92" s="140"/>
      <c r="M92" s="140"/>
      <c r="N92" s="140"/>
      <c r="O92" s="68"/>
    </row>
    <row r="93" spans="4:15" ht="13.5">
      <c r="D93" s="144" t="s">
        <v>232</v>
      </c>
      <c r="E93" s="140"/>
      <c r="F93" s="140"/>
      <c r="G93" s="140"/>
      <c r="H93" s="118"/>
      <c r="I93" s="140"/>
      <c r="J93" s="118"/>
      <c r="K93" s="140"/>
      <c r="L93" s="140"/>
      <c r="M93" s="140"/>
      <c r="N93" s="140"/>
      <c r="O93" s="68"/>
    </row>
    <row r="94" spans="4:15" ht="13.5">
      <c r="D94" s="139"/>
      <c r="E94" s="140"/>
      <c r="F94" s="140"/>
      <c r="G94" s="140"/>
      <c r="H94" s="118"/>
      <c r="I94" s="140"/>
      <c r="J94" s="118"/>
      <c r="K94" s="140"/>
      <c r="L94" s="140"/>
      <c r="M94" s="140"/>
      <c r="N94" s="140"/>
      <c r="O94" s="68"/>
    </row>
    <row r="95" spans="4:14" ht="15.75">
      <c r="D95" s="170" t="s">
        <v>48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70"/>
    </row>
    <row r="96" spans="4:14" ht="13.5">
      <c r="D96" s="169" t="s">
        <v>240</v>
      </c>
      <c r="E96" s="169"/>
      <c r="F96" s="169"/>
      <c r="G96" s="169"/>
      <c r="H96" s="169"/>
      <c r="I96" s="169"/>
      <c r="J96" s="169"/>
      <c r="K96" s="169"/>
      <c r="L96" s="169"/>
      <c r="M96" s="169"/>
      <c r="N96" s="169"/>
    </row>
    <row r="97" spans="4:14" ht="13.5"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28"/>
    </row>
    <row r="98" spans="4:14" ht="14.25" thickBot="1">
      <c r="D98" s="132" t="s">
        <v>108</v>
      </c>
      <c r="E98" s="118"/>
      <c r="F98" s="118"/>
      <c r="G98" s="128"/>
      <c r="H98" s="128"/>
      <c r="I98" s="128"/>
      <c r="J98" s="128"/>
      <c r="K98" s="128"/>
      <c r="L98" s="128"/>
      <c r="M98" s="128"/>
      <c r="N98" s="128"/>
    </row>
    <row r="99" spans="4:14" ht="54.75" thickTop="1">
      <c r="D99" s="119" t="s">
        <v>189</v>
      </c>
      <c r="E99" s="120" t="s">
        <v>188</v>
      </c>
      <c r="F99" s="120" t="s">
        <v>186</v>
      </c>
      <c r="G99" s="120" t="s">
        <v>190</v>
      </c>
      <c r="H99" s="120" t="s">
        <v>191</v>
      </c>
      <c r="I99" s="120" t="s">
        <v>192</v>
      </c>
      <c r="J99" s="120" t="s">
        <v>193</v>
      </c>
      <c r="K99" s="120" t="s">
        <v>194</v>
      </c>
      <c r="L99" s="120" t="s">
        <v>195</v>
      </c>
      <c r="M99" s="120" t="s">
        <v>196</v>
      </c>
      <c r="N99" s="121" t="s">
        <v>198</v>
      </c>
    </row>
    <row r="100" spans="4:17" ht="13.5">
      <c r="D100" s="115" t="s">
        <v>203</v>
      </c>
      <c r="E100" s="123">
        <v>7551.4</v>
      </c>
      <c r="F100" s="123">
        <v>4736.6</v>
      </c>
      <c r="G100" s="123">
        <v>118.07</v>
      </c>
      <c r="H100" s="123">
        <f>E100-F100-G100</f>
        <v>2696.729999999999</v>
      </c>
      <c r="I100" s="122">
        <v>7151.92</v>
      </c>
      <c r="J100" s="123">
        <v>3117.44</v>
      </c>
      <c r="K100" s="123">
        <f>I100-J100</f>
        <v>4034.48</v>
      </c>
      <c r="L100" s="133">
        <f aca="true" t="shared" si="27" ref="L100:L121">F100+J100</f>
        <v>7854.040000000001</v>
      </c>
      <c r="M100" s="122">
        <f>H100+K100</f>
        <v>6731.209999999999</v>
      </c>
      <c r="N100" s="124">
        <f aca="true" t="shared" si="28" ref="N100:N122">(F100+G100+J100)/(E100+I100)%</f>
        <v>54.21979525712561</v>
      </c>
      <c r="O100" s="68"/>
      <c r="P100" s="68"/>
      <c r="Q100" s="68"/>
    </row>
    <row r="101" spans="4:14" ht="13.5">
      <c r="D101" s="115" t="s">
        <v>204</v>
      </c>
      <c r="E101" s="122">
        <v>5150.91</v>
      </c>
      <c r="F101" s="123">
        <v>3881.61</v>
      </c>
      <c r="G101" s="123">
        <v>104.38</v>
      </c>
      <c r="H101" s="123">
        <f>E101-F101-G101</f>
        <v>1164.9199999999996</v>
      </c>
      <c r="I101" s="123">
        <v>2748.94</v>
      </c>
      <c r="J101" s="123">
        <v>1141.49</v>
      </c>
      <c r="K101" s="123">
        <f aca="true" t="shared" si="29" ref="K101:K121">I101-J101</f>
        <v>1607.45</v>
      </c>
      <c r="L101" s="134">
        <f t="shared" si="27"/>
        <v>5023.1</v>
      </c>
      <c r="M101" s="122">
        <f aca="true" t="shared" si="30" ref="M101:M121">H101+K101</f>
        <v>2772.37</v>
      </c>
      <c r="N101" s="124">
        <f t="shared" si="28"/>
        <v>64.90604251979468</v>
      </c>
    </row>
    <row r="102" spans="4:14" ht="13.5">
      <c r="D102" s="115" t="s">
        <v>205</v>
      </c>
      <c r="E102" s="122">
        <v>4759.67</v>
      </c>
      <c r="F102" s="122">
        <v>3318.63</v>
      </c>
      <c r="G102" s="122">
        <v>86.33</v>
      </c>
      <c r="H102" s="122">
        <f aca="true" t="shared" si="31" ref="H102:H121">E102-F102-G102</f>
        <v>1354.71</v>
      </c>
      <c r="I102" s="122">
        <v>2894.14</v>
      </c>
      <c r="J102" s="123">
        <v>1191.94</v>
      </c>
      <c r="K102" s="123">
        <f t="shared" si="29"/>
        <v>1702.1999999999998</v>
      </c>
      <c r="L102" s="134">
        <f t="shared" si="27"/>
        <v>4510.57</v>
      </c>
      <c r="M102" s="123">
        <f t="shared" si="30"/>
        <v>3056.91</v>
      </c>
      <c r="N102" s="124">
        <f t="shared" si="28"/>
        <v>60.06028370184261</v>
      </c>
    </row>
    <row r="103" spans="4:14" ht="13.5">
      <c r="D103" s="115" t="s">
        <v>206</v>
      </c>
      <c r="E103" s="123">
        <v>5837.21</v>
      </c>
      <c r="F103" s="123">
        <v>4142.06</v>
      </c>
      <c r="G103" s="123">
        <v>131.31</v>
      </c>
      <c r="H103" s="122">
        <f t="shared" si="31"/>
        <v>1563.8399999999997</v>
      </c>
      <c r="I103" s="122">
        <v>4714.06</v>
      </c>
      <c r="J103" s="122">
        <v>1971.62</v>
      </c>
      <c r="K103" s="123">
        <f t="shared" si="29"/>
        <v>2742.4400000000005</v>
      </c>
      <c r="L103" s="133">
        <f t="shared" si="27"/>
        <v>6113.68</v>
      </c>
      <c r="M103" s="122">
        <f t="shared" si="30"/>
        <v>4306.280000000001</v>
      </c>
      <c r="N103" s="124">
        <f t="shared" si="28"/>
        <v>59.18709311770053</v>
      </c>
    </row>
    <row r="104" spans="4:14" ht="13.5">
      <c r="D104" s="115" t="s">
        <v>207</v>
      </c>
      <c r="E104" s="122">
        <v>7624.69</v>
      </c>
      <c r="F104" s="123">
        <v>3246.71</v>
      </c>
      <c r="G104" s="123">
        <v>73.5</v>
      </c>
      <c r="H104" s="123">
        <f t="shared" si="31"/>
        <v>4304.48</v>
      </c>
      <c r="I104" s="122">
        <v>10141.68</v>
      </c>
      <c r="J104" s="122">
        <v>1636.32</v>
      </c>
      <c r="K104" s="122">
        <f t="shared" si="29"/>
        <v>8505.36</v>
      </c>
      <c r="L104" s="133">
        <f t="shared" si="27"/>
        <v>4883.03</v>
      </c>
      <c r="M104" s="123">
        <f t="shared" si="30"/>
        <v>12809.84</v>
      </c>
      <c r="N104" s="124">
        <f t="shared" si="28"/>
        <v>27.898383293829863</v>
      </c>
    </row>
    <row r="105" spans="4:14" ht="13.5">
      <c r="D105" s="115" t="s">
        <v>208</v>
      </c>
      <c r="E105" s="123">
        <v>4557.99</v>
      </c>
      <c r="F105" s="123">
        <v>3272.3</v>
      </c>
      <c r="G105" s="122">
        <v>107.86</v>
      </c>
      <c r="H105" s="123">
        <f t="shared" si="31"/>
        <v>1177.8299999999997</v>
      </c>
      <c r="I105" s="122">
        <v>2605.16</v>
      </c>
      <c r="J105" s="122">
        <v>850.06</v>
      </c>
      <c r="K105" s="123">
        <f t="shared" si="29"/>
        <v>1755.1</v>
      </c>
      <c r="L105" s="133">
        <f t="shared" si="27"/>
        <v>4122.360000000001</v>
      </c>
      <c r="M105" s="122">
        <f t="shared" si="30"/>
        <v>2932.9299999999994</v>
      </c>
      <c r="N105" s="124">
        <f t="shared" si="28"/>
        <v>59.055303881672174</v>
      </c>
    </row>
    <row r="106" spans="4:14" ht="13.5">
      <c r="D106" s="115" t="s">
        <v>209</v>
      </c>
      <c r="E106" s="123">
        <v>923.32</v>
      </c>
      <c r="F106" s="123">
        <v>522.53</v>
      </c>
      <c r="G106" s="123">
        <v>11.09</v>
      </c>
      <c r="H106" s="123">
        <f t="shared" si="31"/>
        <v>389.7000000000001</v>
      </c>
      <c r="I106" s="123">
        <v>1013.61</v>
      </c>
      <c r="J106" s="123">
        <v>395.7</v>
      </c>
      <c r="K106" s="122">
        <f t="shared" si="29"/>
        <v>617.9100000000001</v>
      </c>
      <c r="L106" s="133">
        <f t="shared" si="27"/>
        <v>918.23</v>
      </c>
      <c r="M106" s="122">
        <f t="shared" si="30"/>
        <v>1007.6100000000001</v>
      </c>
      <c r="N106" s="124">
        <f t="shared" si="28"/>
        <v>47.97901834346104</v>
      </c>
    </row>
    <row r="107" spans="4:15" ht="13.5">
      <c r="D107" s="115" t="s">
        <v>210</v>
      </c>
      <c r="E107" s="122">
        <v>6845.92</v>
      </c>
      <c r="F107" s="123">
        <v>4476.1</v>
      </c>
      <c r="G107" s="123">
        <v>139.58</v>
      </c>
      <c r="H107" s="123">
        <f t="shared" si="31"/>
        <v>2230.24</v>
      </c>
      <c r="I107" s="122">
        <v>3904.46</v>
      </c>
      <c r="J107" s="122">
        <v>1378.32</v>
      </c>
      <c r="K107" s="123">
        <f t="shared" si="29"/>
        <v>2526.1400000000003</v>
      </c>
      <c r="L107" s="134">
        <f t="shared" si="27"/>
        <v>5854.42</v>
      </c>
      <c r="M107" s="122">
        <f t="shared" si="30"/>
        <v>4756.38</v>
      </c>
      <c r="N107" s="124">
        <f t="shared" si="28"/>
        <v>55.75616861915578</v>
      </c>
      <c r="O107" s="68"/>
    </row>
    <row r="108" spans="4:14" ht="13.5">
      <c r="D108" s="115" t="s">
        <v>211</v>
      </c>
      <c r="E108" s="123">
        <v>825.65</v>
      </c>
      <c r="F108" s="123">
        <v>473.03</v>
      </c>
      <c r="G108" s="122">
        <v>10.38</v>
      </c>
      <c r="H108" s="123">
        <f t="shared" si="31"/>
        <v>342.24</v>
      </c>
      <c r="I108" s="123">
        <v>619.94</v>
      </c>
      <c r="J108" s="122">
        <v>198.94</v>
      </c>
      <c r="K108" s="123">
        <f t="shared" si="29"/>
        <v>421.00000000000006</v>
      </c>
      <c r="L108" s="134">
        <f t="shared" si="27"/>
        <v>671.97</v>
      </c>
      <c r="M108" s="122">
        <f t="shared" si="30"/>
        <v>763.24</v>
      </c>
      <c r="N108" s="124">
        <f t="shared" si="28"/>
        <v>47.20218042460171</v>
      </c>
    </row>
    <row r="109" spans="4:14" ht="13.5">
      <c r="D109" s="115" t="s">
        <v>212</v>
      </c>
      <c r="E109" s="123">
        <v>5485.43</v>
      </c>
      <c r="F109" s="122">
        <v>3822.62</v>
      </c>
      <c r="G109" s="123">
        <v>88.35</v>
      </c>
      <c r="H109" s="123">
        <f t="shared" si="31"/>
        <v>1574.4600000000005</v>
      </c>
      <c r="I109" s="122">
        <v>2978.04</v>
      </c>
      <c r="J109" s="123">
        <v>866.75</v>
      </c>
      <c r="K109" s="123">
        <f t="shared" si="29"/>
        <v>2111.29</v>
      </c>
      <c r="L109" s="134">
        <f t="shared" si="27"/>
        <v>4689.37</v>
      </c>
      <c r="M109" s="123">
        <f t="shared" si="30"/>
        <v>3685.7500000000005</v>
      </c>
      <c r="N109" s="124">
        <f t="shared" si="28"/>
        <v>56.45107739496919</v>
      </c>
    </row>
    <row r="110" spans="4:14" ht="13.5">
      <c r="D110" s="115" t="s">
        <v>213</v>
      </c>
      <c r="E110" s="123">
        <v>26303.34</v>
      </c>
      <c r="F110" s="123">
        <v>15871.41</v>
      </c>
      <c r="G110" s="123">
        <v>400.66</v>
      </c>
      <c r="H110" s="123">
        <f t="shared" si="31"/>
        <v>10031.27</v>
      </c>
      <c r="I110" s="123">
        <v>21080.93</v>
      </c>
      <c r="J110" s="122">
        <v>6473.21</v>
      </c>
      <c r="K110" s="123">
        <f t="shared" si="29"/>
        <v>14607.720000000001</v>
      </c>
      <c r="L110" s="134">
        <f t="shared" si="27"/>
        <v>22344.62</v>
      </c>
      <c r="M110" s="122">
        <f t="shared" si="30"/>
        <v>24638.99</v>
      </c>
      <c r="N110" s="124">
        <f t="shared" si="28"/>
        <v>48.00175248030622</v>
      </c>
    </row>
    <row r="111" spans="4:15" ht="13.5">
      <c r="D111" s="115" t="s">
        <v>214</v>
      </c>
      <c r="E111" s="123">
        <v>18842.51</v>
      </c>
      <c r="F111" s="123">
        <v>12333.98</v>
      </c>
      <c r="G111" s="123">
        <v>391.6</v>
      </c>
      <c r="H111" s="122">
        <f t="shared" si="31"/>
        <v>6116.9299999999985</v>
      </c>
      <c r="I111" s="123">
        <v>12400.22</v>
      </c>
      <c r="J111" s="123">
        <v>4569.21</v>
      </c>
      <c r="K111" s="123">
        <f t="shared" si="29"/>
        <v>7831.009999999999</v>
      </c>
      <c r="L111" s="133">
        <f t="shared" si="27"/>
        <v>16903.19</v>
      </c>
      <c r="M111" s="122">
        <f t="shared" si="30"/>
        <v>13947.939999999999</v>
      </c>
      <c r="N111" s="124">
        <f t="shared" si="28"/>
        <v>55.356206067779624</v>
      </c>
      <c r="O111" s="68"/>
    </row>
    <row r="112" spans="4:15" ht="13.5">
      <c r="D112" s="115" t="s">
        <v>215</v>
      </c>
      <c r="E112" s="123">
        <v>6943.89</v>
      </c>
      <c r="F112" s="122">
        <v>4994.66</v>
      </c>
      <c r="G112" s="123">
        <v>131.6</v>
      </c>
      <c r="H112" s="123">
        <f t="shared" si="31"/>
        <v>1817.6300000000006</v>
      </c>
      <c r="I112" s="123">
        <v>4753.66</v>
      </c>
      <c r="J112" s="123">
        <v>1981.42</v>
      </c>
      <c r="K112" s="123">
        <f t="shared" si="29"/>
        <v>2772.24</v>
      </c>
      <c r="L112" s="133">
        <f t="shared" si="27"/>
        <v>6976.08</v>
      </c>
      <c r="M112" s="122">
        <f t="shared" si="30"/>
        <v>4589.870000000001</v>
      </c>
      <c r="N112" s="124">
        <f t="shared" si="28"/>
        <v>60.76212540232784</v>
      </c>
      <c r="O112" s="68"/>
    </row>
    <row r="113" spans="4:14" ht="13.5">
      <c r="D113" s="115" t="s">
        <v>216</v>
      </c>
      <c r="E113" s="123">
        <v>2750.83</v>
      </c>
      <c r="F113" s="123">
        <v>1529.23</v>
      </c>
      <c r="G113" s="123">
        <v>22.74</v>
      </c>
      <c r="H113" s="123">
        <f t="shared" si="31"/>
        <v>1198.86</v>
      </c>
      <c r="I113" s="122">
        <v>2273.67</v>
      </c>
      <c r="J113" s="122">
        <v>892.98</v>
      </c>
      <c r="K113" s="122">
        <f t="shared" si="29"/>
        <v>1380.69</v>
      </c>
      <c r="L113" s="134">
        <f t="shared" si="27"/>
        <v>2422.21</v>
      </c>
      <c r="M113" s="122">
        <f t="shared" si="30"/>
        <v>2579.55</v>
      </c>
      <c r="N113" s="124">
        <f t="shared" si="28"/>
        <v>48.660563240123395</v>
      </c>
    </row>
    <row r="114" spans="4:14" ht="13.5">
      <c r="D114" s="115" t="s">
        <v>217</v>
      </c>
      <c r="E114" s="122">
        <v>3577.76</v>
      </c>
      <c r="F114" s="143">
        <v>2627.97</v>
      </c>
      <c r="G114" s="123">
        <v>86.09</v>
      </c>
      <c r="H114" s="123">
        <f t="shared" si="31"/>
        <v>863.7000000000004</v>
      </c>
      <c r="I114" s="122">
        <v>1708.26</v>
      </c>
      <c r="J114" s="123">
        <v>661.57</v>
      </c>
      <c r="K114" s="122">
        <f t="shared" si="29"/>
        <v>1046.69</v>
      </c>
      <c r="L114" s="133">
        <f t="shared" si="27"/>
        <v>3289.54</v>
      </c>
      <c r="M114" s="122">
        <f t="shared" si="30"/>
        <v>1910.3900000000003</v>
      </c>
      <c r="N114" s="124">
        <f t="shared" si="28"/>
        <v>63.859576770424624</v>
      </c>
    </row>
    <row r="115" spans="4:15" ht="13.5">
      <c r="D115" s="115" t="s">
        <v>218</v>
      </c>
      <c r="E115" s="122">
        <v>4245.49</v>
      </c>
      <c r="F115" s="122">
        <v>3062.55</v>
      </c>
      <c r="G115" s="123">
        <v>87.71</v>
      </c>
      <c r="H115" s="122">
        <f t="shared" si="31"/>
        <v>1095.2299999999996</v>
      </c>
      <c r="I115" s="123">
        <v>2835.18</v>
      </c>
      <c r="J115" s="122">
        <v>1244.76</v>
      </c>
      <c r="K115" s="123">
        <f t="shared" si="29"/>
        <v>1590.4199999999998</v>
      </c>
      <c r="L115" s="133">
        <f t="shared" si="27"/>
        <v>4307.31</v>
      </c>
      <c r="M115" s="122">
        <f t="shared" si="30"/>
        <v>2685.6499999999996</v>
      </c>
      <c r="N115" s="124">
        <f t="shared" si="28"/>
        <v>62.070679752057366</v>
      </c>
      <c r="O115" s="68"/>
    </row>
    <row r="116" spans="4:15" ht="13.5">
      <c r="D116" s="115" t="s">
        <v>219</v>
      </c>
      <c r="E116" s="123">
        <v>7805.88</v>
      </c>
      <c r="F116" s="123">
        <v>5519.56</v>
      </c>
      <c r="G116" s="122">
        <v>157.27</v>
      </c>
      <c r="H116" s="123">
        <f t="shared" si="31"/>
        <v>2129.0499999999997</v>
      </c>
      <c r="I116" s="122">
        <v>4455.77</v>
      </c>
      <c r="J116" s="123">
        <v>1354.15</v>
      </c>
      <c r="K116" s="122">
        <f t="shared" si="29"/>
        <v>3101.6200000000003</v>
      </c>
      <c r="L116" s="134">
        <f t="shared" si="27"/>
        <v>6873.710000000001</v>
      </c>
      <c r="M116" s="122">
        <f t="shared" si="30"/>
        <v>5230.67</v>
      </c>
      <c r="N116" s="124">
        <f t="shared" si="28"/>
        <v>57.341222429281544</v>
      </c>
      <c r="O116" s="68"/>
    </row>
    <row r="117" spans="4:15" ht="13.5">
      <c r="D117" s="115" t="s">
        <v>220</v>
      </c>
      <c r="E117" s="122">
        <v>5444.18</v>
      </c>
      <c r="F117" s="123">
        <v>4174.53</v>
      </c>
      <c r="G117" s="123">
        <v>151.51</v>
      </c>
      <c r="H117" s="123">
        <f t="shared" si="31"/>
        <v>1118.1400000000006</v>
      </c>
      <c r="I117" s="123">
        <v>1872.24</v>
      </c>
      <c r="J117" s="123">
        <v>779.48</v>
      </c>
      <c r="K117" s="123">
        <f t="shared" si="29"/>
        <v>1092.76</v>
      </c>
      <c r="L117" s="134">
        <f t="shared" si="27"/>
        <v>4954.01</v>
      </c>
      <c r="M117" s="122">
        <f t="shared" si="30"/>
        <v>2210.9000000000005</v>
      </c>
      <c r="N117" s="124">
        <f t="shared" si="28"/>
        <v>69.78166917700187</v>
      </c>
      <c r="O117" s="68"/>
    </row>
    <row r="118" spans="4:17" ht="13.5">
      <c r="D118" s="115" t="s">
        <v>221</v>
      </c>
      <c r="E118" s="123">
        <v>109127.39</v>
      </c>
      <c r="F118" s="123">
        <v>76785.91</v>
      </c>
      <c r="G118" s="123">
        <v>1716.58</v>
      </c>
      <c r="H118" s="123">
        <f t="shared" si="31"/>
        <v>30624.899999999994</v>
      </c>
      <c r="I118" s="123">
        <v>62815.19</v>
      </c>
      <c r="J118" s="123">
        <v>27213.7</v>
      </c>
      <c r="K118" s="123">
        <f t="shared" si="29"/>
        <v>35601.490000000005</v>
      </c>
      <c r="L118" s="134">
        <f t="shared" si="27"/>
        <v>103999.61</v>
      </c>
      <c r="M118" s="123">
        <f>H118+K118</f>
        <v>66226.39</v>
      </c>
      <c r="N118" s="124">
        <f t="shared" si="28"/>
        <v>61.48342661835131</v>
      </c>
      <c r="O118" s="68"/>
      <c r="P118" s="68"/>
      <c r="Q118" s="68"/>
    </row>
    <row r="119" spans="4:17" ht="13.5">
      <c r="D119" s="115" t="s">
        <v>222</v>
      </c>
      <c r="E119" s="123">
        <v>19530.31</v>
      </c>
      <c r="F119" s="123">
        <v>13386.32</v>
      </c>
      <c r="G119" s="123">
        <v>377.33</v>
      </c>
      <c r="H119" s="123">
        <f t="shared" si="31"/>
        <v>5766.660000000002</v>
      </c>
      <c r="I119" s="123">
        <v>12198.2</v>
      </c>
      <c r="J119" s="123">
        <v>3670.49</v>
      </c>
      <c r="K119" s="122">
        <f t="shared" si="29"/>
        <v>8527.710000000001</v>
      </c>
      <c r="L119" s="133">
        <f t="shared" si="27"/>
        <v>17056.809999999998</v>
      </c>
      <c r="M119" s="122">
        <f t="shared" si="30"/>
        <v>14294.370000000003</v>
      </c>
      <c r="N119" s="124">
        <f t="shared" si="28"/>
        <v>54.94786865188438</v>
      </c>
      <c r="O119" s="68"/>
      <c r="Q119" s="68"/>
    </row>
    <row r="120" spans="4:15" ht="13.5">
      <c r="D120" s="115" t="s">
        <v>223</v>
      </c>
      <c r="E120" s="123">
        <v>951.57</v>
      </c>
      <c r="F120" s="123">
        <v>587.3</v>
      </c>
      <c r="G120" s="122">
        <v>13.41</v>
      </c>
      <c r="H120" s="123">
        <f t="shared" si="31"/>
        <v>350.86000000000007</v>
      </c>
      <c r="I120" s="123">
        <v>1089.93</v>
      </c>
      <c r="J120" s="122">
        <v>392.78</v>
      </c>
      <c r="K120" s="123">
        <f t="shared" si="29"/>
        <v>697.1500000000001</v>
      </c>
      <c r="L120" s="133">
        <f t="shared" si="27"/>
        <v>980.0799999999999</v>
      </c>
      <c r="M120" s="123">
        <f t="shared" si="30"/>
        <v>1048.0100000000002</v>
      </c>
      <c r="N120" s="124">
        <f t="shared" si="28"/>
        <v>48.66470732304678</v>
      </c>
      <c r="O120" s="68"/>
    </row>
    <row r="121" spans="4:17" ht="13.5">
      <c r="D121" s="115" t="s">
        <v>224</v>
      </c>
      <c r="E121" s="123">
        <v>7617.07</v>
      </c>
      <c r="F121" s="122">
        <v>4726.67</v>
      </c>
      <c r="G121" s="122">
        <v>125.63</v>
      </c>
      <c r="H121" s="123">
        <f t="shared" si="31"/>
        <v>2764.7699999999995</v>
      </c>
      <c r="I121" s="122">
        <v>6634.74</v>
      </c>
      <c r="J121" s="123">
        <v>1748.75</v>
      </c>
      <c r="K121" s="123">
        <f t="shared" si="29"/>
        <v>4885.99</v>
      </c>
      <c r="L121" s="133">
        <f t="shared" si="27"/>
        <v>6475.42</v>
      </c>
      <c r="M121" s="122">
        <f t="shared" si="30"/>
        <v>7650.759999999999</v>
      </c>
      <c r="N121" s="124">
        <f t="shared" si="28"/>
        <v>46.31727478825496</v>
      </c>
      <c r="O121" s="48"/>
      <c r="P121" s="47"/>
      <c r="Q121" s="48"/>
    </row>
    <row r="122" spans="4:18" ht="16.5" thickBot="1">
      <c r="D122" s="117" t="s">
        <v>225</v>
      </c>
      <c r="E122" s="125">
        <f aca="true" t="shared" si="32" ref="E122:M122">SUM(E100:E121)</f>
        <v>262702.41000000003</v>
      </c>
      <c r="F122" s="125">
        <f t="shared" si="32"/>
        <v>177492.28</v>
      </c>
      <c r="G122" s="125">
        <f t="shared" si="32"/>
        <v>4532.98</v>
      </c>
      <c r="H122" s="125">
        <f t="shared" si="32"/>
        <v>80677.15</v>
      </c>
      <c r="I122" s="126">
        <f t="shared" si="32"/>
        <v>172889.94</v>
      </c>
      <c r="J122" s="126">
        <f t="shared" si="32"/>
        <v>63731.079999999994</v>
      </c>
      <c r="K122" s="126">
        <f t="shared" si="32"/>
        <v>109158.86000000002</v>
      </c>
      <c r="L122" s="126">
        <f>F122+J122</f>
        <v>241223.36</v>
      </c>
      <c r="M122" s="125">
        <f t="shared" si="32"/>
        <v>189836.01</v>
      </c>
      <c r="N122" s="127">
        <f t="shared" si="28"/>
        <v>56.418883389481</v>
      </c>
      <c r="O122" s="72"/>
      <c r="P122" s="68"/>
      <c r="Q122" s="68"/>
      <c r="R122" s="70"/>
    </row>
    <row r="123" spans="4:18" ht="16.5" thickTop="1">
      <c r="D123" s="118"/>
      <c r="E123" s="118"/>
      <c r="F123" s="118"/>
      <c r="G123" s="118"/>
      <c r="H123" s="118"/>
      <c r="I123" s="140"/>
      <c r="J123" s="140"/>
      <c r="K123" s="140"/>
      <c r="L123" s="118"/>
      <c r="M123" s="118"/>
      <c r="N123" s="140"/>
      <c r="O123" s="72"/>
      <c r="P123" s="68"/>
      <c r="Q123" s="68"/>
      <c r="R123" s="70"/>
    </row>
    <row r="124" spans="4:18" ht="15.75">
      <c r="D124" s="118"/>
      <c r="E124" s="118"/>
      <c r="F124" s="118"/>
      <c r="G124" s="118"/>
      <c r="H124" s="118"/>
      <c r="I124" s="140"/>
      <c r="J124" s="140"/>
      <c r="K124" s="140"/>
      <c r="L124" s="118"/>
      <c r="M124" s="118"/>
      <c r="N124" s="140"/>
      <c r="O124" s="72"/>
      <c r="P124" s="68"/>
      <c r="Q124" s="68"/>
      <c r="R124" s="70"/>
    </row>
    <row r="125" spans="4:14" ht="14.25" thickBot="1">
      <c r="D125" s="118" t="s">
        <v>111</v>
      </c>
      <c r="E125" s="118"/>
      <c r="F125" s="118"/>
      <c r="G125" s="128"/>
      <c r="H125" s="128"/>
      <c r="I125" s="128"/>
      <c r="J125" s="128"/>
      <c r="K125" s="128"/>
      <c r="L125" s="135"/>
      <c r="M125" s="128"/>
      <c r="N125" s="128"/>
    </row>
    <row r="126" spans="4:14" ht="54.75" thickTop="1">
      <c r="D126" s="119" t="s">
        <v>189</v>
      </c>
      <c r="E126" s="120" t="s">
        <v>188</v>
      </c>
      <c r="F126" s="120" t="s">
        <v>186</v>
      </c>
      <c r="G126" s="120" t="s">
        <v>190</v>
      </c>
      <c r="H126" s="120" t="s">
        <v>191</v>
      </c>
      <c r="I126" s="120" t="s">
        <v>192</v>
      </c>
      <c r="J126" s="120" t="s">
        <v>193</v>
      </c>
      <c r="K126" s="120" t="s">
        <v>194</v>
      </c>
      <c r="L126" s="120" t="s">
        <v>195</v>
      </c>
      <c r="M126" s="120" t="s">
        <v>196</v>
      </c>
      <c r="N126" s="121" t="s">
        <v>198</v>
      </c>
    </row>
    <row r="127" spans="4:14" ht="13.5">
      <c r="D127" s="115" t="s">
        <v>203</v>
      </c>
      <c r="E127" s="122">
        <v>1564.28</v>
      </c>
      <c r="F127" s="122">
        <v>1209.18</v>
      </c>
      <c r="G127" s="123">
        <v>0.65</v>
      </c>
      <c r="H127" s="122">
        <f aca="true" t="shared" si="33" ref="H127:H147">E127-F127-G127</f>
        <v>354.44999999999993</v>
      </c>
      <c r="I127" s="123">
        <v>1716.3</v>
      </c>
      <c r="J127" s="123">
        <v>1593</v>
      </c>
      <c r="K127" s="123">
        <f aca="true" t="shared" si="34" ref="K127:K148">I127-J127</f>
        <v>123.29999999999995</v>
      </c>
      <c r="L127" s="133">
        <f aca="true" t="shared" si="35" ref="L127:L148">F127+J127</f>
        <v>2802.1800000000003</v>
      </c>
      <c r="M127" s="123">
        <f>H127+K127</f>
        <v>477.7499999999999</v>
      </c>
      <c r="N127" s="124">
        <f>(F127+G127+J127)/(E127+I127)%</f>
        <v>85.43702637948168</v>
      </c>
    </row>
    <row r="128" spans="4:15" ht="13.5">
      <c r="D128" s="115" t="s">
        <v>204</v>
      </c>
      <c r="E128" s="122">
        <v>903.78</v>
      </c>
      <c r="F128" s="122">
        <v>444.28</v>
      </c>
      <c r="G128" s="123">
        <v>18.2</v>
      </c>
      <c r="H128" s="123">
        <f t="shared" si="33"/>
        <v>441.3</v>
      </c>
      <c r="I128" s="122">
        <v>711.71</v>
      </c>
      <c r="J128" s="122">
        <v>252.03</v>
      </c>
      <c r="K128" s="122">
        <f t="shared" si="34"/>
        <v>459.68000000000006</v>
      </c>
      <c r="L128" s="133">
        <f t="shared" si="35"/>
        <v>696.31</v>
      </c>
      <c r="M128" s="122">
        <f aca="true" t="shared" si="36" ref="M128:M148">H128+K128</f>
        <v>900.98</v>
      </c>
      <c r="N128" s="124">
        <f aca="true" t="shared" si="37" ref="N128:N150">(F128+G128+J128)/(E128+I128)%</f>
        <v>44.22868603333973</v>
      </c>
      <c r="O128" s="68"/>
    </row>
    <row r="129" spans="4:14" ht="13.5">
      <c r="D129" s="115" t="s">
        <v>205</v>
      </c>
      <c r="E129" s="122">
        <v>784.52</v>
      </c>
      <c r="F129" s="122">
        <v>204.02</v>
      </c>
      <c r="G129" s="123">
        <v>1.72</v>
      </c>
      <c r="H129" s="123">
        <f t="shared" si="33"/>
        <v>578.78</v>
      </c>
      <c r="I129" s="122">
        <v>588.33</v>
      </c>
      <c r="J129" s="122">
        <v>76.52</v>
      </c>
      <c r="K129" s="122">
        <f t="shared" si="34"/>
        <v>511.81000000000006</v>
      </c>
      <c r="L129" s="134">
        <f t="shared" si="35"/>
        <v>280.54</v>
      </c>
      <c r="M129" s="122">
        <f t="shared" si="36"/>
        <v>1090.5900000000001</v>
      </c>
      <c r="N129" s="124">
        <f t="shared" si="37"/>
        <v>20.560148595986455</v>
      </c>
    </row>
    <row r="130" spans="4:15" ht="13.5">
      <c r="D130" s="115" t="s">
        <v>206</v>
      </c>
      <c r="E130" s="123">
        <v>611.31</v>
      </c>
      <c r="F130" s="123">
        <v>149.14</v>
      </c>
      <c r="G130" s="122">
        <v>3.52</v>
      </c>
      <c r="H130" s="123">
        <f t="shared" si="33"/>
        <v>458.65</v>
      </c>
      <c r="I130" s="122">
        <v>629.78</v>
      </c>
      <c r="J130" s="123">
        <v>332.14</v>
      </c>
      <c r="K130" s="123">
        <f t="shared" si="34"/>
        <v>297.64</v>
      </c>
      <c r="L130" s="134">
        <f t="shared" si="35"/>
        <v>481.28</v>
      </c>
      <c r="M130" s="122">
        <f t="shared" si="36"/>
        <v>756.29</v>
      </c>
      <c r="N130" s="124">
        <f t="shared" si="37"/>
        <v>39.06243705130168</v>
      </c>
      <c r="O130" s="68"/>
    </row>
    <row r="131" spans="4:17" ht="13.5">
      <c r="D131" s="115" t="s">
        <v>207</v>
      </c>
      <c r="E131" s="122">
        <v>1462.02</v>
      </c>
      <c r="F131" s="123">
        <v>774.51</v>
      </c>
      <c r="G131" s="123">
        <v>4.8</v>
      </c>
      <c r="H131" s="123">
        <f t="shared" si="33"/>
        <v>682.71</v>
      </c>
      <c r="I131" s="122">
        <v>1181.23</v>
      </c>
      <c r="J131" s="123">
        <v>610.64</v>
      </c>
      <c r="K131" s="123">
        <f t="shared" si="34"/>
        <v>570.59</v>
      </c>
      <c r="L131" s="133">
        <f t="shared" si="35"/>
        <v>1385.15</v>
      </c>
      <c r="M131" s="122">
        <f t="shared" si="36"/>
        <v>1253.3000000000002</v>
      </c>
      <c r="N131" s="124">
        <f t="shared" si="37"/>
        <v>52.584886030454925</v>
      </c>
      <c r="Q131" s="68"/>
    </row>
    <row r="132" spans="4:14" ht="13.5">
      <c r="D132" s="115" t="s">
        <v>208</v>
      </c>
      <c r="E132" s="123">
        <v>1241.97</v>
      </c>
      <c r="F132" s="123">
        <v>969.33</v>
      </c>
      <c r="G132" s="122">
        <v>7.82</v>
      </c>
      <c r="H132" s="123">
        <f t="shared" si="33"/>
        <v>264.82</v>
      </c>
      <c r="I132" s="122">
        <v>1155.51</v>
      </c>
      <c r="J132" s="123">
        <v>855.2</v>
      </c>
      <c r="K132" s="122">
        <f t="shared" si="34"/>
        <v>300.30999999999995</v>
      </c>
      <c r="L132" s="134">
        <f t="shared" si="35"/>
        <v>1824.5300000000002</v>
      </c>
      <c r="M132" s="122">
        <f t="shared" si="36"/>
        <v>565.1299999999999</v>
      </c>
      <c r="N132" s="124">
        <f t="shared" si="37"/>
        <v>76.42816624121994</v>
      </c>
    </row>
    <row r="133" spans="4:14" ht="13.5">
      <c r="D133" s="115" t="s">
        <v>209</v>
      </c>
      <c r="E133" s="122">
        <v>121.05</v>
      </c>
      <c r="F133" s="122">
        <v>64.56</v>
      </c>
      <c r="G133" s="123">
        <v>0.18</v>
      </c>
      <c r="H133" s="122">
        <f t="shared" si="33"/>
        <v>56.309999999999995</v>
      </c>
      <c r="I133" s="122">
        <v>71.92</v>
      </c>
      <c r="J133" s="122">
        <v>14.66</v>
      </c>
      <c r="K133" s="122">
        <f t="shared" si="34"/>
        <v>57.260000000000005</v>
      </c>
      <c r="L133" s="133">
        <f t="shared" si="35"/>
        <v>79.22</v>
      </c>
      <c r="M133" s="122">
        <f t="shared" si="36"/>
        <v>113.57</v>
      </c>
      <c r="N133" s="124">
        <f t="shared" si="37"/>
        <v>41.14629216976733</v>
      </c>
    </row>
    <row r="134" spans="4:17" ht="13.5">
      <c r="D134" s="115" t="s">
        <v>210</v>
      </c>
      <c r="E134" s="122">
        <v>2228.18</v>
      </c>
      <c r="F134" s="123">
        <v>580.3</v>
      </c>
      <c r="G134" s="123">
        <v>28.98</v>
      </c>
      <c r="H134" s="123">
        <f t="shared" si="33"/>
        <v>1618.8999999999999</v>
      </c>
      <c r="I134" s="123">
        <v>1943.81</v>
      </c>
      <c r="J134" s="122">
        <v>381.13</v>
      </c>
      <c r="K134" s="122">
        <f t="shared" si="34"/>
        <v>1562.6799999999998</v>
      </c>
      <c r="L134" s="134">
        <f t="shared" si="35"/>
        <v>961.43</v>
      </c>
      <c r="M134" s="123">
        <f t="shared" si="36"/>
        <v>3181.58</v>
      </c>
      <c r="N134" s="124">
        <f t="shared" si="37"/>
        <v>23.73951040151103</v>
      </c>
      <c r="P134" s="68"/>
      <c r="Q134" s="68"/>
    </row>
    <row r="135" spans="4:16" ht="13.5">
      <c r="D135" s="115" t="s">
        <v>211</v>
      </c>
      <c r="E135" s="122">
        <v>99.39</v>
      </c>
      <c r="F135" s="122">
        <v>13.44</v>
      </c>
      <c r="G135" s="122">
        <v>0.08</v>
      </c>
      <c r="H135" s="122">
        <f t="shared" si="33"/>
        <v>85.87</v>
      </c>
      <c r="I135" s="123">
        <v>10.4</v>
      </c>
      <c r="J135" s="123"/>
      <c r="K135" s="123">
        <f t="shared" si="34"/>
        <v>10.4</v>
      </c>
      <c r="L135" s="134">
        <f t="shared" si="35"/>
        <v>13.44</v>
      </c>
      <c r="M135" s="122">
        <f t="shared" si="36"/>
        <v>96.27000000000001</v>
      </c>
      <c r="N135" s="124">
        <f t="shared" si="37"/>
        <v>12.31441843519446</v>
      </c>
      <c r="P135" s="68"/>
    </row>
    <row r="136" spans="4:17" ht="13.5">
      <c r="D136" s="115" t="s">
        <v>212</v>
      </c>
      <c r="E136" s="122">
        <v>635.54</v>
      </c>
      <c r="F136" s="123">
        <v>178.45</v>
      </c>
      <c r="G136" s="122">
        <v>0.38</v>
      </c>
      <c r="H136" s="122">
        <f t="shared" si="33"/>
        <v>456.71</v>
      </c>
      <c r="I136" s="123">
        <v>405.41</v>
      </c>
      <c r="J136" s="123">
        <v>118.36</v>
      </c>
      <c r="K136" s="123">
        <f t="shared" si="34"/>
        <v>287.05</v>
      </c>
      <c r="L136" s="134">
        <f t="shared" si="35"/>
        <v>296.81</v>
      </c>
      <c r="M136" s="122">
        <f t="shared" si="36"/>
        <v>743.76</v>
      </c>
      <c r="N136" s="124">
        <f t="shared" si="37"/>
        <v>28.549882319035493</v>
      </c>
      <c r="P136" s="68"/>
      <c r="Q136" s="68"/>
    </row>
    <row r="137" spans="4:15" ht="13.5">
      <c r="D137" s="115" t="s">
        <v>213</v>
      </c>
      <c r="E137" s="123">
        <v>20418.3</v>
      </c>
      <c r="F137" s="123">
        <v>15933.63</v>
      </c>
      <c r="G137" s="123">
        <v>1334.43</v>
      </c>
      <c r="H137" s="122">
        <f t="shared" si="33"/>
        <v>3150.24</v>
      </c>
      <c r="I137" s="122">
        <v>4959.58</v>
      </c>
      <c r="J137" s="122">
        <v>2577.86</v>
      </c>
      <c r="K137" s="123">
        <f t="shared" si="34"/>
        <v>2381.72</v>
      </c>
      <c r="L137" s="133">
        <f t="shared" si="35"/>
        <v>18511.489999999998</v>
      </c>
      <c r="M137" s="122">
        <f t="shared" si="36"/>
        <v>5531.959999999999</v>
      </c>
      <c r="N137" s="124">
        <f t="shared" si="37"/>
        <v>78.20164647322787</v>
      </c>
      <c r="O137" s="68"/>
    </row>
    <row r="138" spans="4:16" ht="13.5">
      <c r="D138" s="115" t="s">
        <v>214</v>
      </c>
      <c r="E138" s="123">
        <v>12883.81</v>
      </c>
      <c r="F138" s="123">
        <v>11158.22</v>
      </c>
      <c r="G138" s="123">
        <v>12.52</v>
      </c>
      <c r="H138" s="123">
        <f t="shared" si="33"/>
        <v>1713.0700000000002</v>
      </c>
      <c r="I138" s="123">
        <v>11781.91</v>
      </c>
      <c r="J138" s="122">
        <v>11033.21</v>
      </c>
      <c r="K138" s="123">
        <f t="shared" si="34"/>
        <v>748.7000000000007</v>
      </c>
      <c r="L138" s="133">
        <f t="shared" si="35"/>
        <v>22191.43</v>
      </c>
      <c r="M138" s="122">
        <f t="shared" si="36"/>
        <v>2461.770000000001</v>
      </c>
      <c r="N138" s="124">
        <f t="shared" si="37"/>
        <v>90.01946831472989</v>
      </c>
      <c r="P138" s="68"/>
    </row>
    <row r="139" spans="4:14" ht="13.5">
      <c r="D139" s="115" t="s">
        <v>215</v>
      </c>
      <c r="E139" s="122">
        <v>2705.87</v>
      </c>
      <c r="F139" s="123">
        <v>2408.47</v>
      </c>
      <c r="G139" s="123">
        <v>18.85</v>
      </c>
      <c r="H139" s="123">
        <f t="shared" si="33"/>
        <v>278.55000000000007</v>
      </c>
      <c r="I139" s="123">
        <v>3545.19</v>
      </c>
      <c r="J139" s="122">
        <v>3573.64</v>
      </c>
      <c r="K139" s="123">
        <f t="shared" si="34"/>
        <v>-28.449999999999818</v>
      </c>
      <c r="L139" s="133">
        <f t="shared" si="35"/>
        <v>5982.11</v>
      </c>
      <c r="M139" s="123">
        <f t="shared" si="36"/>
        <v>250.10000000000025</v>
      </c>
      <c r="N139" s="124">
        <f t="shared" si="37"/>
        <v>95.99907855627684</v>
      </c>
    </row>
    <row r="140" spans="4:14" ht="13.5">
      <c r="D140" s="115" t="s">
        <v>216</v>
      </c>
      <c r="E140" s="122">
        <v>1205.42</v>
      </c>
      <c r="F140" s="122">
        <v>302.4</v>
      </c>
      <c r="G140" s="122">
        <v>0.56</v>
      </c>
      <c r="H140" s="123">
        <f t="shared" si="33"/>
        <v>902.4600000000002</v>
      </c>
      <c r="I140" s="122">
        <v>1320.31</v>
      </c>
      <c r="J140" s="122">
        <v>329.94</v>
      </c>
      <c r="K140" s="123">
        <f t="shared" si="34"/>
        <v>990.3699999999999</v>
      </c>
      <c r="L140" s="133">
        <f t="shared" si="35"/>
        <v>632.3399999999999</v>
      </c>
      <c r="M140" s="122">
        <f t="shared" si="36"/>
        <v>1892.83</v>
      </c>
      <c r="N140" s="124">
        <f t="shared" si="37"/>
        <v>25.058102014071178</v>
      </c>
    </row>
    <row r="141" spans="4:14" ht="13.5">
      <c r="D141" s="115" t="s">
        <v>217</v>
      </c>
      <c r="E141" s="122">
        <v>426.57</v>
      </c>
      <c r="F141" s="122">
        <v>381.31</v>
      </c>
      <c r="G141" s="123">
        <v>1.1</v>
      </c>
      <c r="H141" s="123">
        <f t="shared" si="33"/>
        <v>44.15999999999999</v>
      </c>
      <c r="I141" s="123">
        <v>66.13</v>
      </c>
      <c r="J141" s="123">
        <v>23.71</v>
      </c>
      <c r="K141" s="123">
        <f t="shared" si="34"/>
        <v>42.419999999999995</v>
      </c>
      <c r="L141" s="133">
        <f t="shared" si="35"/>
        <v>405.02</v>
      </c>
      <c r="M141" s="122">
        <f t="shared" si="36"/>
        <v>86.57999999999998</v>
      </c>
      <c r="N141" s="124">
        <f t="shared" si="37"/>
        <v>82.4274406332454</v>
      </c>
    </row>
    <row r="142" spans="4:16" ht="13.5">
      <c r="D142" s="115" t="s">
        <v>218</v>
      </c>
      <c r="E142" s="122">
        <v>794.19</v>
      </c>
      <c r="F142" s="122">
        <v>371.91</v>
      </c>
      <c r="G142" s="122">
        <v>0.39</v>
      </c>
      <c r="H142" s="123">
        <f t="shared" si="33"/>
        <v>421.89000000000004</v>
      </c>
      <c r="I142" s="122">
        <v>490.01</v>
      </c>
      <c r="J142" s="122">
        <v>27.37</v>
      </c>
      <c r="K142" s="122">
        <f t="shared" si="34"/>
        <v>462.64</v>
      </c>
      <c r="L142" s="133">
        <f t="shared" si="35"/>
        <v>399.28000000000003</v>
      </c>
      <c r="M142" s="122">
        <f t="shared" si="36"/>
        <v>884.53</v>
      </c>
      <c r="N142" s="124">
        <f t="shared" si="37"/>
        <v>31.122099361470177</v>
      </c>
      <c r="P142" s="68"/>
    </row>
    <row r="143" spans="4:14" ht="13.5">
      <c r="D143" s="115" t="s">
        <v>219</v>
      </c>
      <c r="E143" s="123">
        <v>985.76</v>
      </c>
      <c r="F143" s="123">
        <v>300.55</v>
      </c>
      <c r="G143" s="122">
        <v>4.03</v>
      </c>
      <c r="H143" s="123">
        <f t="shared" si="33"/>
        <v>681.1800000000001</v>
      </c>
      <c r="I143" s="122">
        <v>703.91</v>
      </c>
      <c r="J143" s="123">
        <v>297.22</v>
      </c>
      <c r="K143" s="123">
        <f t="shared" si="34"/>
        <v>406.68999999999994</v>
      </c>
      <c r="L143" s="134">
        <f t="shared" si="35"/>
        <v>597.77</v>
      </c>
      <c r="M143" s="123">
        <f t="shared" si="36"/>
        <v>1087.87</v>
      </c>
      <c r="N143" s="124">
        <f t="shared" si="37"/>
        <v>35.61642214160161</v>
      </c>
    </row>
    <row r="144" spans="4:14" ht="13.5">
      <c r="D144" s="115" t="s">
        <v>220</v>
      </c>
      <c r="E144" s="123">
        <v>800.73</v>
      </c>
      <c r="F144" s="123">
        <v>568.26</v>
      </c>
      <c r="G144" s="123">
        <v>21.57</v>
      </c>
      <c r="H144" s="123">
        <f t="shared" si="33"/>
        <v>210.90000000000003</v>
      </c>
      <c r="I144" s="122">
        <v>314.84</v>
      </c>
      <c r="J144" s="122">
        <v>156.52</v>
      </c>
      <c r="K144" s="122">
        <f t="shared" si="34"/>
        <v>158.31999999999996</v>
      </c>
      <c r="L144" s="133">
        <f t="shared" si="35"/>
        <v>724.78</v>
      </c>
      <c r="M144" s="122">
        <f t="shared" si="36"/>
        <v>369.22</v>
      </c>
      <c r="N144" s="124">
        <f t="shared" si="37"/>
        <v>66.90301818801152</v>
      </c>
    </row>
    <row r="145" spans="4:15" ht="13.5">
      <c r="D145" s="115" t="s">
        <v>221</v>
      </c>
      <c r="E145" s="122">
        <v>114874.77</v>
      </c>
      <c r="F145" s="122">
        <f>63541.88+19708</f>
        <v>83249.88</v>
      </c>
      <c r="G145" s="122">
        <v>1175.94</v>
      </c>
      <c r="H145" s="123">
        <f t="shared" si="33"/>
        <v>30448.95</v>
      </c>
      <c r="I145" s="123">
        <v>75573.07</v>
      </c>
      <c r="J145" s="123">
        <v>63934.2</v>
      </c>
      <c r="K145" s="123">
        <f t="shared" si="34"/>
        <v>11638.87000000001</v>
      </c>
      <c r="L145" s="133">
        <f t="shared" si="35"/>
        <v>147184.08000000002</v>
      </c>
      <c r="M145" s="123">
        <f t="shared" si="36"/>
        <v>42087.82000000001</v>
      </c>
      <c r="N145" s="124">
        <f t="shared" si="37"/>
        <v>77.90060522608185</v>
      </c>
      <c r="O145" s="68"/>
    </row>
    <row r="146" spans="4:14" ht="13.5">
      <c r="D146" s="115" t="s">
        <v>222</v>
      </c>
      <c r="E146" s="122">
        <v>5768.63</v>
      </c>
      <c r="F146" s="123">
        <v>3695.73</v>
      </c>
      <c r="G146" s="123">
        <v>28.35</v>
      </c>
      <c r="H146" s="123">
        <f t="shared" si="33"/>
        <v>2044.5500000000002</v>
      </c>
      <c r="I146" s="123">
        <v>4279.91</v>
      </c>
      <c r="J146" s="123">
        <v>1822.74</v>
      </c>
      <c r="K146" s="122">
        <f t="shared" si="34"/>
        <v>2457.17</v>
      </c>
      <c r="L146" s="133">
        <f>F146+J146</f>
        <v>5518.47</v>
      </c>
      <c r="M146" s="123">
        <f t="shared" si="36"/>
        <v>4501.72</v>
      </c>
      <c r="N146" s="124">
        <f t="shared" si="37"/>
        <v>55.20025794792078</v>
      </c>
    </row>
    <row r="147" spans="4:15" ht="13.5">
      <c r="D147" s="115" t="s">
        <v>223</v>
      </c>
      <c r="E147" s="123">
        <v>160.49</v>
      </c>
      <c r="F147" s="122">
        <v>117.38</v>
      </c>
      <c r="G147" s="122">
        <v>0.21</v>
      </c>
      <c r="H147" s="123">
        <f t="shared" si="33"/>
        <v>42.90000000000001</v>
      </c>
      <c r="I147" s="123">
        <v>128.2</v>
      </c>
      <c r="J147" s="122">
        <v>112.22</v>
      </c>
      <c r="K147" s="123">
        <f t="shared" si="34"/>
        <v>15.97999999999999</v>
      </c>
      <c r="L147" s="133">
        <f t="shared" si="35"/>
        <v>229.6</v>
      </c>
      <c r="M147" s="123">
        <f t="shared" si="36"/>
        <v>58.88</v>
      </c>
      <c r="N147" s="124">
        <f t="shared" si="37"/>
        <v>79.60441996605356</v>
      </c>
      <c r="O147" s="69"/>
    </row>
    <row r="148" spans="4:15" ht="13.5">
      <c r="D148" s="115" t="s">
        <v>224</v>
      </c>
      <c r="E148" s="122">
        <v>642.67</v>
      </c>
      <c r="F148" s="123">
        <v>105.39</v>
      </c>
      <c r="G148" s="123">
        <v>1.4</v>
      </c>
      <c r="H148" s="123">
        <f>E148-F148-G148</f>
        <v>535.88</v>
      </c>
      <c r="I148" s="123">
        <v>537.2</v>
      </c>
      <c r="J148" s="123">
        <v>49.8</v>
      </c>
      <c r="K148" s="123">
        <f t="shared" si="34"/>
        <v>487.40000000000003</v>
      </c>
      <c r="L148" s="133">
        <f t="shared" si="35"/>
        <v>155.19</v>
      </c>
      <c r="M148" s="122">
        <f t="shared" si="36"/>
        <v>1023.28</v>
      </c>
      <c r="N148" s="124">
        <f t="shared" si="37"/>
        <v>13.271801130633039</v>
      </c>
      <c r="O148" s="48"/>
    </row>
    <row r="149" spans="4:17" ht="15.75">
      <c r="D149" s="115" t="s">
        <v>226</v>
      </c>
      <c r="E149" s="134">
        <f aca="true" t="shared" si="38" ref="E149:K149">SUM(E127:E148)</f>
        <v>171319.25000000003</v>
      </c>
      <c r="F149" s="134">
        <f t="shared" si="38"/>
        <v>123180.34000000001</v>
      </c>
      <c r="G149" s="133">
        <f t="shared" si="38"/>
        <v>2665.68</v>
      </c>
      <c r="H149" s="134">
        <f t="shared" si="38"/>
        <v>45473.23</v>
      </c>
      <c r="I149" s="133">
        <f>SUM(I127:I148)</f>
        <v>112114.66</v>
      </c>
      <c r="J149" s="133">
        <f>SUM(J127:J148)</f>
        <v>88172.11</v>
      </c>
      <c r="K149" s="133">
        <f t="shared" si="38"/>
        <v>23942.550000000014</v>
      </c>
      <c r="L149" s="134">
        <f>F149+J149</f>
        <v>211352.45</v>
      </c>
      <c r="M149" s="133">
        <f>SUM(M127:M148)</f>
        <v>69415.78000000001</v>
      </c>
      <c r="N149" s="138">
        <f t="shared" si="37"/>
        <v>75.50900666755082</v>
      </c>
      <c r="O149" s="71"/>
      <c r="P149" s="68"/>
      <c r="Q149" s="68"/>
    </row>
    <row r="150" spans="4:14" ht="14.25" thickBot="1">
      <c r="D150" s="116" t="s">
        <v>228</v>
      </c>
      <c r="E150" s="126">
        <f>E122+E149</f>
        <v>434021.66000000003</v>
      </c>
      <c r="F150" s="125">
        <f aca="true" t="shared" si="39" ref="F150:M150">F122+F149</f>
        <v>300672.62</v>
      </c>
      <c r="G150" s="125">
        <f t="shared" si="39"/>
        <v>7198.66</v>
      </c>
      <c r="H150" s="125">
        <f t="shared" si="39"/>
        <v>126150.38</v>
      </c>
      <c r="I150" s="125">
        <f t="shared" si="39"/>
        <v>285004.6</v>
      </c>
      <c r="J150" s="125">
        <f t="shared" si="39"/>
        <v>151903.19</v>
      </c>
      <c r="K150" s="126">
        <f>K122+K149</f>
        <v>133101.41000000003</v>
      </c>
      <c r="L150" s="146">
        <f t="shared" si="39"/>
        <v>452575.81</v>
      </c>
      <c r="M150" s="126">
        <f t="shared" si="39"/>
        <v>259251.79000000004</v>
      </c>
      <c r="N150" s="127">
        <f t="shared" si="37"/>
        <v>63.944044268981216</v>
      </c>
    </row>
    <row r="151" spans="4:14" ht="14.25" thickTop="1">
      <c r="D151" s="139"/>
      <c r="E151" s="140"/>
      <c r="F151" s="118"/>
      <c r="G151" s="118"/>
      <c r="H151" s="118"/>
      <c r="I151" s="118"/>
      <c r="J151" s="118"/>
      <c r="K151" s="140"/>
      <c r="L151" s="148"/>
      <c r="M151" s="140"/>
      <c r="N151" s="140"/>
    </row>
    <row r="152" spans="4:14" ht="13.5">
      <c r="D152" s="139"/>
      <c r="E152" s="140"/>
      <c r="F152" s="118"/>
      <c r="G152" s="118"/>
      <c r="H152" s="118"/>
      <c r="I152" s="118"/>
      <c r="J152" s="118"/>
      <c r="K152" s="140"/>
      <c r="L152" s="148"/>
      <c r="M152" s="140"/>
      <c r="N152" s="140"/>
    </row>
    <row r="153" spans="4:14" ht="12.75">
      <c r="D153" s="113"/>
      <c r="E153" s="114"/>
      <c r="F153" s="45"/>
      <c r="G153" s="45"/>
      <c r="H153" s="45"/>
      <c r="I153" s="45"/>
      <c r="J153" s="45"/>
      <c r="K153" s="45"/>
      <c r="L153" s="114"/>
      <c r="M153" s="114"/>
      <c r="N153" s="114"/>
    </row>
    <row r="154" spans="4:14" ht="15.75">
      <c r="D154" s="170" t="s">
        <v>48</v>
      </c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</row>
    <row r="155" spans="4:14" ht="13.5">
      <c r="D155" s="169" t="s">
        <v>240</v>
      </c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</row>
    <row r="156" spans="4:14" ht="13.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28"/>
    </row>
    <row r="157" spans="4:14" ht="14.25" thickBot="1">
      <c r="D157" s="157" t="s">
        <v>241</v>
      </c>
      <c r="E157" s="118"/>
      <c r="F157" s="118"/>
      <c r="G157" s="128"/>
      <c r="H157" s="128"/>
      <c r="I157" s="128"/>
      <c r="J157" s="128"/>
      <c r="K157" s="128"/>
      <c r="L157" s="128"/>
      <c r="M157" s="128"/>
      <c r="N157" s="128"/>
    </row>
    <row r="158" spans="4:14" ht="54.75" thickTop="1">
      <c r="D158" s="119" t="s">
        <v>189</v>
      </c>
      <c r="E158" s="120" t="s">
        <v>188</v>
      </c>
      <c r="F158" s="120" t="s">
        <v>186</v>
      </c>
      <c r="G158" s="120" t="s">
        <v>190</v>
      </c>
      <c r="H158" s="120" t="s">
        <v>191</v>
      </c>
      <c r="I158" s="120" t="s">
        <v>192</v>
      </c>
      <c r="J158" s="120" t="s">
        <v>193</v>
      </c>
      <c r="K158" s="120" t="s">
        <v>194</v>
      </c>
      <c r="L158" s="120" t="s">
        <v>195</v>
      </c>
      <c r="M158" s="120" t="s">
        <v>196</v>
      </c>
      <c r="N158" s="121" t="s">
        <v>198</v>
      </c>
    </row>
    <row r="159" spans="4:14" ht="13.5">
      <c r="D159" s="115" t="s">
        <v>203</v>
      </c>
      <c r="E159" s="123">
        <f aca="true" t="shared" si="40" ref="E159:G174">E100+E127</f>
        <v>9115.68</v>
      </c>
      <c r="F159" s="123">
        <f t="shared" si="40"/>
        <v>5945.780000000001</v>
      </c>
      <c r="G159" s="123">
        <f t="shared" si="40"/>
        <v>118.72</v>
      </c>
      <c r="H159" s="123">
        <f>E159-F159-G159</f>
        <v>3051.18</v>
      </c>
      <c r="I159" s="123">
        <f aca="true" t="shared" si="41" ref="I159:J174">I100+I127</f>
        <v>8868.22</v>
      </c>
      <c r="J159" s="123">
        <f t="shared" si="41"/>
        <v>4710.4400000000005</v>
      </c>
      <c r="K159" s="122">
        <f aca="true" t="shared" si="42" ref="K159:K180">I159-J159</f>
        <v>4157.779999999999</v>
      </c>
      <c r="L159" s="134">
        <f>F159+J159</f>
        <v>10656.220000000001</v>
      </c>
      <c r="M159" s="123">
        <f>H159+K159</f>
        <v>7208.959999999999</v>
      </c>
      <c r="N159" s="138">
        <f>(F159+G159+J159)/(E159+I159)%</f>
        <v>59.91436785124473</v>
      </c>
    </row>
    <row r="160" spans="4:14" ht="13.5">
      <c r="D160" s="115" t="s">
        <v>204</v>
      </c>
      <c r="E160" s="123">
        <f t="shared" si="40"/>
        <v>6054.69</v>
      </c>
      <c r="F160" s="123">
        <f t="shared" si="40"/>
        <v>4325.89</v>
      </c>
      <c r="G160" s="123">
        <f t="shared" si="40"/>
        <v>122.58</v>
      </c>
      <c r="H160" s="143">
        <f>E160-F160-G160</f>
        <v>1606.2199999999993</v>
      </c>
      <c r="I160" s="123">
        <f t="shared" si="41"/>
        <v>3460.65</v>
      </c>
      <c r="J160" s="123">
        <f t="shared" si="41"/>
        <v>1393.52</v>
      </c>
      <c r="K160" s="122">
        <f t="shared" si="42"/>
        <v>2067.13</v>
      </c>
      <c r="L160" s="134">
        <f>F160+J160</f>
        <v>5719.41</v>
      </c>
      <c r="M160" s="123">
        <f>H160+K160</f>
        <v>3673.3499999999995</v>
      </c>
      <c r="N160" s="138">
        <f aca="true" t="shared" si="43" ref="N160:N180">(F160+G160+J160)/(E160+I160)%</f>
        <v>61.3954940128256</v>
      </c>
    </row>
    <row r="161" spans="4:14" ht="13.5">
      <c r="D161" s="115" t="s">
        <v>205</v>
      </c>
      <c r="E161" s="122">
        <f t="shared" si="40"/>
        <v>5544.1900000000005</v>
      </c>
      <c r="F161" s="123">
        <f t="shared" si="40"/>
        <v>3522.65</v>
      </c>
      <c r="G161" s="123">
        <f t="shared" si="40"/>
        <v>88.05</v>
      </c>
      <c r="H161" s="123">
        <f>E161-F161-G161</f>
        <v>1933.4900000000005</v>
      </c>
      <c r="I161" s="122">
        <f t="shared" si="41"/>
        <v>3482.47</v>
      </c>
      <c r="J161" s="122">
        <f t="shared" si="41"/>
        <v>1268.46</v>
      </c>
      <c r="K161" s="122">
        <f>I161-J161</f>
        <v>2214.0099999999998</v>
      </c>
      <c r="L161" s="134">
        <f aca="true" t="shared" si="44" ref="L161:L179">F161+J161</f>
        <v>4791.110000000001</v>
      </c>
      <c r="M161" s="123">
        <f aca="true" t="shared" si="45" ref="M161:M176">H161+K161</f>
        <v>4147.5</v>
      </c>
      <c r="N161" s="138">
        <f t="shared" si="43"/>
        <v>54.05277256482464</v>
      </c>
    </row>
    <row r="162" spans="4:14" ht="13.5">
      <c r="D162" s="115" t="s">
        <v>206</v>
      </c>
      <c r="E162" s="123">
        <f t="shared" si="40"/>
        <v>6448.52</v>
      </c>
      <c r="F162" s="123">
        <f t="shared" si="40"/>
        <v>4291.200000000001</v>
      </c>
      <c r="G162" s="123">
        <f t="shared" si="40"/>
        <v>134.83</v>
      </c>
      <c r="H162" s="123">
        <f aca="true" t="shared" si="46" ref="H162:H168">E162-F162-G162</f>
        <v>2022.4899999999998</v>
      </c>
      <c r="I162" s="122">
        <f t="shared" si="41"/>
        <v>5343.84</v>
      </c>
      <c r="J162" s="123">
        <f t="shared" si="41"/>
        <v>2303.7599999999998</v>
      </c>
      <c r="K162" s="122">
        <f t="shared" si="42"/>
        <v>3040.0800000000004</v>
      </c>
      <c r="L162" s="133">
        <f t="shared" si="44"/>
        <v>6594.960000000001</v>
      </c>
      <c r="M162" s="123">
        <f t="shared" si="45"/>
        <v>5062.57</v>
      </c>
      <c r="N162" s="138">
        <f t="shared" si="43"/>
        <v>57.069068447706826</v>
      </c>
    </row>
    <row r="163" spans="4:14" ht="13.5">
      <c r="D163" s="115" t="s">
        <v>207</v>
      </c>
      <c r="E163" s="123">
        <f t="shared" si="40"/>
        <v>9086.71</v>
      </c>
      <c r="F163" s="123">
        <f t="shared" si="40"/>
        <v>4021.2200000000003</v>
      </c>
      <c r="G163" s="122">
        <f t="shared" si="40"/>
        <v>78.3</v>
      </c>
      <c r="H163" s="123">
        <f t="shared" si="46"/>
        <v>4987.189999999999</v>
      </c>
      <c r="I163" s="122">
        <f t="shared" si="41"/>
        <v>11322.91</v>
      </c>
      <c r="J163" s="123">
        <f t="shared" si="41"/>
        <v>2246.96</v>
      </c>
      <c r="K163" s="122">
        <f t="shared" si="42"/>
        <v>9075.95</v>
      </c>
      <c r="L163" s="133">
        <f t="shared" si="44"/>
        <v>6268.18</v>
      </c>
      <c r="M163" s="123">
        <f t="shared" si="45"/>
        <v>14063.14</v>
      </c>
      <c r="N163" s="138">
        <f t="shared" si="43"/>
        <v>31.09553240089723</v>
      </c>
    </row>
    <row r="164" spans="4:14" ht="13.5">
      <c r="D164" s="115" t="s">
        <v>208</v>
      </c>
      <c r="E164" s="123">
        <f t="shared" si="40"/>
        <v>5799.96</v>
      </c>
      <c r="F164" s="122">
        <f t="shared" si="40"/>
        <v>4241.63</v>
      </c>
      <c r="G164" s="122">
        <f t="shared" si="40"/>
        <v>115.68</v>
      </c>
      <c r="H164" s="123">
        <f t="shared" si="46"/>
        <v>1442.6499999999999</v>
      </c>
      <c r="I164" s="123">
        <f t="shared" si="41"/>
        <v>3760.67</v>
      </c>
      <c r="J164" s="122">
        <f t="shared" si="41"/>
        <v>1705.26</v>
      </c>
      <c r="K164" s="122">
        <f t="shared" si="42"/>
        <v>2055.41</v>
      </c>
      <c r="L164" s="134">
        <f t="shared" si="44"/>
        <v>5946.89</v>
      </c>
      <c r="M164" s="122">
        <f t="shared" si="45"/>
        <v>3498.0599999999995</v>
      </c>
      <c r="N164" s="138">
        <f t="shared" si="43"/>
        <v>63.4118253713406</v>
      </c>
    </row>
    <row r="165" spans="4:14" ht="13.5">
      <c r="D165" s="115" t="s">
        <v>209</v>
      </c>
      <c r="E165" s="123">
        <f t="shared" si="40"/>
        <v>1044.3700000000001</v>
      </c>
      <c r="F165" s="123">
        <f t="shared" si="40"/>
        <v>587.0899999999999</v>
      </c>
      <c r="G165" s="123">
        <f t="shared" si="40"/>
        <v>11.27</v>
      </c>
      <c r="H165" s="123">
        <f t="shared" si="46"/>
        <v>446.0100000000002</v>
      </c>
      <c r="I165" s="123">
        <f t="shared" si="41"/>
        <v>1085.53</v>
      </c>
      <c r="J165" s="123">
        <f t="shared" si="41"/>
        <v>410.36</v>
      </c>
      <c r="K165" s="123">
        <f>I165-J165</f>
        <v>675.17</v>
      </c>
      <c r="L165" s="134">
        <f t="shared" si="44"/>
        <v>997.4499999999999</v>
      </c>
      <c r="M165" s="122">
        <f t="shared" si="45"/>
        <v>1121.1800000000003</v>
      </c>
      <c r="N165" s="138">
        <f t="shared" si="43"/>
        <v>47.35996995164092</v>
      </c>
    </row>
    <row r="166" spans="4:14" ht="13.5">
      <c r="D166" s="115" t="s">
        <v>210</v>
      </c>
      <c r="E166" s="123">
        <f t="shared" si="40"/>
        <v>9074.1</v>
      </c>
      <c r="F166" s="123">
        <f t="shared" si="40"/>
        <v>5056.400000000001</v>
      </c>
      <c r="G166" s="123">
        <f t="shared" si="40"/>
        <v>168.56</v>
      </c>
      <c r="H166" s="123">
        <f t="shared" si="46"/>
        <v>3849.14</v>
      </c>
      <c r="I166" s="123">
        <f t="shared" si="41"/>
        <v>5848.27</v>
      </c>
      <c r="J166" s="122">
        <f t="shared" si="41"/>
        <v>1759.4499999999998</v>
      </c>
      <c r="K166" s="122">
        <f t="shared" si="42"/>
        <v>4088.8200000000006</v>
      </c>
      <c r="L166" s="133">
        <f t="shared" si="44"/>
        <v>6815.85</v>
      </c>
      <c r="M166" s="122">
        <f t="shared" si="45"/>
        <v>7937.960000000001</v>
      </c>
      <c r="N166" s="138">
        <f t="shared" si="43"/>
        <v>46.80496462693259</v>
      </c>
    </row>
    <row r="167" spans="4:14" ht="13.5">
      <c r="D167" s="115" t="s">
        <v>211</v>
      </c>
      <c r="E167" s="123">
        <f t="shared" si="40"/>
        <v>925.04</v>
      </c>
      <c r="F167" s="123">
        <f t="shared" si="40"/>
        <v>486.46999999999997</v>
      </c>
      <c r="G167" s="122">
        <f t="shared" si="40"/>
        <v>10.46</v>
      </c>
      <c r="H167" s="123">
        <f t="shared" si="46"/>
        <v>428.11</v>
      </c>
      <c r="I167" s="123">
        <f t="shared" si="41"/>
        <v>630.34</v>
      </c>
      <c r="J167" s="123">
        <f t="shared" si="41"/>
        <v>198.94</v>
      </c>
      <c r="K167" s="123">
        <f t="shared" si="42"/>
        <v>431.40000000000003</v>
      </c>
      <c r="L167" s="134">
        <f t="shared" si="44"/>
        <v>685.41</v>
      </c>
      <c r="M167" s="122">
        <f t="shared" si="45"/>
        <v>859.51</v>
      </c>
      <c r="N167" s="138">
        <f t="shared" si="43"/>
        <v>44.7395491776929</v>
      </c>
    </row>
    <row r="168" spans="4:14" ht="13.5">
      <c r="D168" s="115" t="s">
        <v>212</v>
      </c>
      <c r="E168" s="122">
        <f t="shared" si="40"/>
        <v>6120.97</v>
      </c>
      <c r="F168" s="123">
        <f t="shared" si="40"/>
        <v>4001.0699999999997</v>
      </c>
      <c r="G168" s="123">
        <f t="shared" si="40"/>
        <v>88.72999999999999</v>
      </c>
      <c r="H168" s="123">
        <f t="shared" si="46"/>
        <v>2031.1700000000005</v>
      </c>
      <c r="I168" s="123">
        <f t="shared" si="41"/>
        <v>3383.45</v>
      </c>
      <c r="J168" s="123">
        <f t="shared" si="41"/>
        <v>985.11</v>
      </c>
      <c r="K168" s="122">
        <f t="shared" si="42"/>
        <v>2398.3399999999997</v>
      </c>
      <c r="L168" s="133">
        <f t="shared" si="44"/>
        <v>4986.179999999999</v>
      </c>
      <c r="M168" s="123">
        <f t="shared" si="45"/>
        <v>4429.51</v>
      </c>
      <c r="N168" s="138">
        <f t="shared" si="43"/>
        <v>53.395262414750185</v>
      </c>
    </row>
    <row r="169" spans="4:14" ht="13.5">
      <c r="D169" s="115" t="s">
        <v>213</v>
      </c>
      <c r="E169" s="123">
        <f t="shared" si="40"/>
        <v>46721.64</v>
      </c>
      <c r="F169" s="123">
        <f t="shared" si="40"/>
        <v>31805.04</v>
      </c>
      <c r="G169" s="123">
        <f t="shared" si="40"/>
        <v>1735.0900000000001</v>
      </c>
      <c r="H169" s="123">
        <f>E169-F169-G169</f>
        <v>13181.509999999998</v>
      </c>
      <c r="I169" s="122">
        <f t="shared" si="41"/>
        <v>26040.510000000002</v>
      </c>
      <c r="J169" s="122">
        <f t="shared" si="41"/>
        <v>9051.07</v>
      </c>
      <c r="K169" s="122">
        <f t="shared" si="42"/>
        <v>16989.440000000002</v>
      </c>
      <c r="L169" s="133">
        <f t="shared" si="44"/>
        <v>40856.11</v>
      </c>
      <c r="M169" s="123">
        <f t="shared" si="45"/>
        <v>30170.95</v>
      </c>
      <c r="N169" s="138">
        <f t="shared" si="43"/>
        <v>58.53482889111991</v>
      </c>
    </row>
    <row r="170" spans="4:14" ht="13.5">
      <c r="D170" s="115" t="s">
        <v>214</v>
      </c>
      <c r="E170" s="123">
        <f t="shared" si="40"/>
        <v>31726.32</v>
      </c>
      <c r="F170" s="123">
        <f t="shared" si="40"/>
        <v>23492.199999999997</v>
      </c>
      <c r="G170" s="122">
        <f t="shared" si="40"/>
        <v>404.12</v>
      </c>
      <c r="H170" s="122">
        <f aca="true" t="shared" si="47" ref="H170:H179">E170-F170-G170</f>
        <v>7830.000000000003</v>
      </c>
      <c r="I170" s="123">
        <f t="shared" si="41"/>
        <v>24182.129999999997</v>
      </c>
      <c r="J170" s="122">
        <f t="shared" si="41"/>
        <v>15602.419999999998</v>
      </c>
      <c r="K170" s="122">
        <f t="shared" si="42"/>
        <v>8579.71</v>
      </c>
      <c r="L170" s="134">
        <f t="shared" si="44"/>
        <v>39094.619999999995</v>
      </c>
      <c r="M170" s="122">
        <f t="shared" si="45"/>
        <v>16409.710000000003</v>
      </c>
      <c r="N170" s="138">
        <f t="shared" si="43"/>
        <v>70.64896272388162</v>
      </c>
    </row>
    <row r="171" spans="4:14" ht="13.5">
      <c r="D171" s="115" t="s">
        <v>215</v>
      </c>
      <c r="E171" s="123">
        <f t="shared" si="40"/>
        <v>9649.76</v>
      </c>
      <c r="F171" s="123">
        <f t="shared" si="40"/>
        <v>7403.129999999999</v>
      </c>
      <c r="G171" s="123">
        <f t="shared" si="40"/>
        <v>150.45</v>
      </c>
      <c r="H171" s="123">
        <f t="shared" si="47"/>
        <v>2096.180000000001</v>
      </c>
      <c r="I171" s="123">
        <f t="shared" si="41"/>
        <v>8298.85</v>
      </c>
      <c r="J171" s="123">
        <f t="shared" si="41"/>
        <v>5555.0599999999995</v>
      </c>
      <c r="K171" s="122">
        <f t="shared" si="42"/>
        <v>2743.790000000001</v>
      </c>
      <c r="L171" s="133">
        <f t="shared" si="44"/>
        <v>12958.189999999999</v>
      </c>
      <c r="M171" s="122">
        <f t="shared" si="45"/>
        <v>4839.970000000002</v>
      </c>
      <c r="N171" s="138">
        <f t="shared" si="43"/>
        <v>73.0342906776625</v>
      </c>
    </row>
    <row r="172" spans="4:14" ht="13.5">
      <c r="D172" s="115" t="s">
        <v>216</v>
      </c>
      <c r="E172" s="123">
        <f t="shared" si="40"/>
        <v>3956.25</v>
      </c>
      <c r="F172" s="123">
        <f t="shared" si="40"/>
        <v>1831.63</v>
      </c>
      <c r="G172" s="123">
        <f t="shared" si="40"/>
        <v>23.299999999999997</v>
      </c>
      <c r="H172" s="123">
        <f t="shared" si="47"/>
        <v>2101.3199999999997</v>
      </c>
      <c r="I172" s="122">
        <f t="shared" si="41"/>
        <v>3593.98</v>
      </c>
      <c r="J172" s="122">
        <f t="shared" si="41"/>
        <v>1222.92</v>
      </c>
      <c r="K172" s="123">
        <f t="shared" si="42"/>
        <v>2371.06</v>
      </c>
      <c r="L172" s="134">
        <f t="shared" si="44"/>
        <v>3054.55</v>
      </c>
      <c r="M172" s="122">
        <f t="shared" si="45"/>
        <v>4472.379999999999</v>
      </c>
      <c r="N172" s="138">
        <f t="shared" si="43"/>
        <v>40.764983318388985</v>
      </c>
    </row>
    <row r="173" spans="4:14" ht="13.5">
      <c r="D173" s="115" t="s">
        <v>217</v>
      </c>
      <c r="E173" s="123">
        <f t="shared" si="40"/>
        <v>4004.3300000000004</v>
      </c>
      <c r="F173" s="143">
        <f t="shared" si="40"/>
        <v>3009.2799999999997</v>
      </c>
      <c r="G173" s="123">
        <f t="shared" si="40"/>
        <v>87.19</v>
      </c>
      <c r="H173" s="123">
        <f t="shared" si="47"/>
        <v>907.8600000000006</v>
      </c>
      <c r="I173" s="122">
        <f t="shared" si="41"/>
        <v>1774.3899999999999</v>
      </c>
      <c r="J173" s="123">
        <f t="shared" si="41"/>
        <v>685.2800000000001</v>
      </c>
      <c r="K173" s="122">
        <f t="shared" si="42"/>
        <v>1089.1099999999997</v>
      </c>
      <c r="L173" s="134">
        <f t="shared" si="44"/>
        <v>3694.56</v>
      </c>
      <c r="M173" s="122">
        <f t="shared" si="45"/>
        <v>1996.9700000000003</v>
      </c>
      <c r="N173" s="138">
        <f t="shared" si="43"/>
        <v>65.44269319157183</v>
      </c>
    </row>
    <row r="174" spans="4:14" ht="13.5">
      <c r="D174" s="115" t="s">
        <v>218</v>
      </c>
      <c r="E174" s="122">
        <f t="shared" si="40"/>
        <v>5039.68</v>
      </c>
      <c r="F174" s="122">
        <f t="shared" si="40"/>
        <v>3434.46</v>
      </c>
      <c r="G174" s="123">
        <f t="shared" si="40"/>
        <v>88.1</v>
      </c>
      <c r="H174" s="122">
        <f t="shared" si="47"/>
        <v>1517.1200000000003</v>
      </c>
      <c r="I174" s="123">
        <f t="shared" si="41"/>
        <v>3325.1899999999996</v>
      </c>
      <c r="J174" s="122">
        <f t="shared" si="41"/>
        <v>1272.1299999999999</v>
      </c>
      <c r="K174" s="123">
        <f t="shared" si="42"/>
        <v>2053.0599999999995</v>
      </c>
      <c r="L174" s="133">
        <f t="shared" si="44"/>
        <v>4706.59</v>
      </c>
      <c r="M174" s="122">
        <f t="shared" si="45"/>
        <v>3570.18</v>
      </c>
      <c r="N174" s="138">
        <f t="shared" si="43"/>
        <v>57.31936061170108</v>
      </c>
    </row>
    <row r="175" spans="4:14" ht="13.5">
      <c r="D175" s="115" t="s">
        <v>219</v>
      </c>
      <c r="E175" s="123">
        <f aca="true" t="shared" si="48" ref="E175:G180">E116+E143</f>
        <v>8791.64</v>
      </c>
      <c r="F175" s="123">
        <f t="shared" si="48"/>
        <v>5820.110000000001</v>
      </c>
      <c r="G175" s="122">
        <f t="shared" si="48"/>
        <v>161.3</v>
      </c>
      <c r="H175" s="123">
        <f t="shared" si="47"/>
        <v>2810.2299999999987</v>
      </c>
      <c r="I175" s="122">
        <f aca="true" t="shared" si="49" ref="I175:J180">I116+I143</f>
        <v>5159.68</v>
      </c>
      <c r="J175" s="123">
        <f t="shared" si="49"/>
        <v>1651.3700000000001</v>
      </c>
      <c r="K175" s="122">
        <f t="shared" si="42"/>
        <v>3508.3100000000004</v>
      </c>
      <c r="L175" s="134">
        <f>F175+J175</f>
        <v>7471.4800000000005</v>
      </c>
      <c r="M175" s="122">
        <f t="shared" si="45"/>
        <v>6318.539999999999</v>
      </c>
      <c r="N175" s="138">
        <f>(F175+G175+J175)/(E175+I175)%</f>
        <v>54.71009194828878</v>
      </c>
    </row>
    <row r="176" spans="4:14" ht="13.5">
      <c r="D176" s="115" t="s">
        <v>220</v>
      </c>
      <c r="E176" s="123">
        <f t="shared" si="48"/>
        <v>6244.91</v>
      </c>
      <c r="F176" s="123">
        <f t="shared" si="48"/>
        <v>4742.79</v>
      </c>
      <c r="G176" s="123">
        <f t="shared" si="48"/>
        <v>173.07999999999998</v>
      </c>
      <c r="H176" s="123">
        <f t="shared" si="47"/>
        <v>1329.04</v>
      </c>
      <c r="I176" s="123">
        <f t="shared" si="49"/>
        <v>2187.08</v>
      </c>
      <c r="J176" s="123">
        <f t="shared" si="49"/>
        <v>936</v>
      </c>
      <c r="K176" s="123">
        <f t="shared" si="42"/>
        <v>1251.08</v>
      </c>
      <c r="L176" s="134">
        <f t="shared" si="44"/>
        <v>5678.79</v>
      </c>
      <c r="M176" s="122">
        <f t="shared" si="45"/>
        <v>2580.12</v>
      </c>
      <c r="N176" s="138">
        <f t="shared" si="43"/>
        <v>69.40081760059013</v>
      </c>
    </row>
    <row r="177" spans="4:14" ht="13.5">
      <c r="D177" s="115" t="s">
        <v>221</v>
      </c>
      <c r="E177" s="123">
        <f t="shared" si="48"/>
        <v>224002.16</v>
      </c>
      <c r="F177" s="123">
        <f t="shared" si="48"/>
        <v>160035.79</v>
      </c>
      <c r="G177" s="123">
        <f t="shared" si="48"/>
        <v>2892.52</v>
      </c>
      <c r="H177" s="123">
        <f t="shared" si="47"/>
        <v>61073.85</v>
      </c>
      <c r="I177" s="123">
        <f t="shared" si="49"/>
        <v>138388.26</v>
      </c>
      <c r="J177" s="123">
        <f t="shared" si="49"/>
        <v>91147.9</v>
      </c>
      <c r="K177" s="122">
        <f t="shared" si="42"/>
        <v>47240.360000000015</v>
      </c>
      <c r="L177" s="134">
        <f t="shared" si="44"/>
        <v>251183.69</v>
      </c>
      <c r="M177" s="122">
        <f>H177+K177</f>
        <v>108314.21000000002</v>
      </c>
      <c r="N177" s="138">
        <f t="shared" si="43"/>
        <v>70.11118285080494</v>
      </c>
    </row>
    <row r="178" spans="4:14" ht="13.5">
      <c r="D178" s="115" t="s">
        <v>222</v>
      </c>
      <c r="E178" s="123">
        <f t="shared" si="48"/>
        <v>25298.940000000002</v>
      </c>
      <c r="F178" s="123">
        <f t="shared" si="48"/>
        <v>17082.05</v>
      </c>
      <c r="G178" s="123">
        <f t="shared" si="48"/>
        <v>405.68</v>
      </c>
      <c r="H178" s="123">
        <f t="shared" si="47"/>
        <v>7811.210000000003</v>
      </c>
      <c r="I178" s="123">
        <f t="shared" si="49"/>
        <v>16478.11</v>
      </c>
      <c r="J178" s="123">
        <f t="shared" si="49"/>
        <v>5493.23</v>
      </c>
      <c r="K178" s="123">
        <f t="shared" si="42"/>
        <v>10984.880000000001</v>
      </c>
      <c r="L178" s="133">
        <f t="shared" si="44"/>
        <v>22575.28</v>
      </c>
      <c r="M178" s="123">
        <f>H178+K178</f>
        <v>18796.090000000004</v>
      </c>
      <c r="N178" s="138">
        <f t="shared" si="43"/>
        <v>55.00857528236196</v>
      </c>
    </row>
    <row r="179" spans="4:14" ht="13.5">
      <c r="D179" s="115" t="s">
        <v>223</v>
      </c>
      <c r="E179" s="123">
        <f t="shared" si="48"/>
        <v>1112.06</v>
      </c>
      <c r="F179" s="122">
        <f t="shared" si="48"/>
        <v>704.68</v>
      </c>
      <c r="G179" s="123">
        <f t="shared" si="48"/>
        <v>13.620000000000001</v>
      </c>
      <c r="H179" s="122">
        <f t="shared" si="47"/>
        <v>393.76</v>
      </c>
      <c r="I179" s="123">
        <f t="shared" si="49"/>
        <v>1218.13</v>
      </c>
      <c r="J179" s="123">
        <f t="shared" si="49"/>
        <v>505</v>
      </c>
      <c r="K179" s="123">
        <f t="shared" si="42"/>
        <v>713.1300000000001</v>
      </c>
      <c r="L179" s="133">
        <f t="shared" si="44"/>
        <v>1209.6799999999998</v>
      </c>
      <c r="M179" s="123">
        <f>H179+K179</f>
        <v>1106.89</v>
      </c>
      <c r="N179" s="138">
        <f t="shared" si="43"/>
        <v>52.497864980967215</v>
      </c>
    </row>
    <row r="180" spans="4:14" ht="13.5">
      <c r="D180" s="115" t="s">
        <v>224</v>
      </c>
      <c r="E180" s="122">
        <f t="shared" si="48"/>
        <v>8259.74</v>
      </c>
      <c r="F180" s="123">
        <f t="shared" si="48"/>
        <v>4832.06</v>
      </c>
      <c r="G180" s="122">
        <f t="shared" si="48"/>
        <v>127.03</v>
      </c>
      <c r="H180" s="123">
        <f>E180-F180-G180</f>
        <v>3300.649999999999</v>
      </c>
      <c r="I180" s="122">
        <f t="shared" si="49"/>
        <v>7171.94</v>
      </c>
      <c r="J180" s="123">
        <f t="shared" si="49"/>
        <v>1798.55</v>
      </c>
      <c r="K180" s="122">
        <f t="shared" si="42"/>
        <v>5373.389999999999</v>
      </c>
      <c r="L180" s="134">
        <f>F180+J180</f>
        <v>6630.610000000001</v>
      </c>
      <c r="M180" s="123">
        <f>H180+K180</f>
        <v>8674.039999999999</v>
      </c>
      <c r="N180" s="138">
        <f t="shared" si="43"/>
        <v>43.790695504313206</v>
      </c>
    </row>
    <row r="181" spans="4:14" ht="14.25" thickBot="1">
      <c r="D181" s="147" t="s">
        <v>230</v>
      </c>
      <c r="E181" s="125">
        <f aca="true" t="shared" si="50" ref="E181:K181">SUM(E159:E180)</f>
        <v>434021.66</v>
      </c>
      <c r="F181" s="126">
        <f t="shared" si="50"/>
        <v>300672.62</v>
      </c>
      <c r="G181" s="125">
        <f t="shared" si="50"/>
        <v>7198.66</v>
      </c>
      <c r="H181" s="126">
        <f t="shared" si="50"/>
        <v>126150.38</v>
      </c>
      <c r="I181" s="126">
        <f t="shared" si="50"/>
        <v>285004.6</v>
      </c>
      <c r="J181" s="126">
        <f t="shared" si="50"/>
        <v>151903.18999999997</v>
      </c>
      <c r="K181" s="126">
        <f t="shared" si="50"/>
        <v>133101.41000000003</v>
      </c>
      <c r="L181" s="146">
        <f>F181+J181</f>
        <v>452575.80999999994</v>
      </c>
      <c r="M181" s="126">
        <f>SUM(M159:M180)</f>
        <v>259251.79000000004</v>
      </c>
      <c r="N181" s="127">
        <f>(F181+G181+J181)/(E181+I181)%</f>
        <v>63.944044268981216</v>
      </c>
    </row>
    <row r="182" spans="8:13" ht="13.5" thickTop="1">
      <c r="H182" s="68"/>
      <c r="K182" s="68"/>
      <c r="L182" s="68"/>
      <c r="M182" s="68"/>
    </row>
    <row r="183" spans="4:12" ht="13.5">
      <c r="D183" s="144" t="s">
        <v>231</v>
      </c>
      <c r="E183" s="68"/>
      <c r="L183" s="68"/>
    </row>
    <row r="184" spans="4:5" ht="13.5">
      <c r="D184" s="144" t="s">
        <v>232</v>
      </c>
      <c r="E184" s="68"/>
    </row>
  </sheetData>
  <sheetProtection password="89CD" sheet="1" objects="1" scenarios="1"/>
  <mergeCells count="8">
    <mergeCell ref="D95:N95"/>
    <mergeCell ref="D96:N96"/>
    <mergeCell ref="D154:N154"/>
    <mergeCell ref="D155:N155"/>
    <mergeCell ref="D2:N2"/>
    <mergeCell ref="D3:N3"/>
    <mergeCell ref="D63:N63"/>
    <mergeCell ref="D64:N6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2011-01-25T07:36:29Z</cp:lastPrinted>
  <dcterms:created xsi:type="dcterms:W3CDTF">2006-03-23T14:06:44Z</dcterms:created>
  <dcterms:modified xsi:type="dcterms:W3CDTF">2011-03-18T06:55:05Z</dcterms:modified>
  <cp:category/>
  <cp:version/>
  <cp:contentType/>
  <cp:contentStatus/>
</cp:coreProperties>
</file>